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NanaJokhadze\AppData\Local\Microsoft\Windows\INetCache\Content.Outlook\YNWHPD63\"/>
    </mc:Choice>
  </mc:AlternateContent>
  <xr:revisionPtr revIDLastSave="0" documentId="13_ncr:1_{0EF2DB99-A700-4A27-ACDB-2C58AFCFD9B7}" xr6:coauthVersionLast="47" xr6:coauthVersionMax="47" xr10:uidLastSave="{00000000-0000-0000-0000-000000000000}"/>
  <bookViews>
    <workbookView xWindow="-108" yWindow="-108" windowWidth="23256" windowHeight="12576" tabRatio="922" xr2:uid="{00000000-000D-0000-FFFF-FFFF00000000}"/>
  </bookViews>
  <sheets>
    <sheet name="Total" sheetId="32" r:id="rId1"/>
    <sheet name="ჯეო მაინინგი." sheetId="2" r:id="rId2"/>
    <sheet name="მნ.რიჩი." sheetId="3" r:id="rId3"/>
    <sheet name="მეტალ. ჯგუფი" sheetId="4" r:id="rId4"/>
    <sheet name="მანგა" sheetId="7" r:id="rId5"/>
    <sheet name="ლეგო" sheetId="5" r:id="rId6"/>
    <sheet name="ანდრო" sheetId="6" r:id="rId7"/>
    <sheet name="ტექნო 2016." sheetId="8" r:id="rId8"/>
    <sheet name="პარტნიორი." sheetId="31" r:id="rId9"/>
    <sheet name="მგტ" sheetId="10" r:id="rId10"/>
    <sheet name="ბუკაპი" sheetId="11" r:id="rId11"/>
    <sheet name="ადვ ტოგო" sheetId="12" r:id="rId12"/>
    <sheet name="როიალ მნ." sheetId="13" r:id="rId13"/>
    <sheet name="ლეჟუბანი" sheetId="14" r:id="rId14"/>
    <sheet name="მნ პლიუსი" sheetId="15" r:id="rId15"/>
    <sheet name="აგო 2019" sheetId="16" r:id="rId16"/>
    <sheet name="არაგვი" sheetId="18" r:id="rId17"/>
    <sheet name="ბარჯა" sheetId="19" r:id="rId18"/>
    <sheet name="ტრანსპორტი" sheetId="20" r:id="rId19"/>
    <sheet name="მ. გრუპი" sheetId="21" r:id="rId20"/>
    <sheet name="კოლხეთი" sheetId="22" r:id="rId21"/>
    <sheet name="ბაჩანა" sheetId="23" r:id="rId22"/>
    <sheet name="მალკო" sheetId="24" r:id="rId23"/>
    <sheet name="შმაგურა" sheetId="25" r:id="rId24"/>
    <sheet name="ბლეკ  გოლდენი" sheetId="26" r:id="rId25"/>
    <sheet name="ჰარიმანი" sheetId="27" r:id="rId26"/>
    <sheet name="ტაბაღუა" sheetId="28" r:id="rId27"/>
    <sheet name="ლალი" sheetId="29" r:id="rId28"/>
    <sheet name="გიო  და კომპანია" sheetId="30"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32" l="1"/>
  <c r="I30" i="32"/>
  <c r="J29" i="32"/>
  <c r="I29" i="32"/>
  <c r="J27" i="32"/>
  <c r="I27" i="32"/>
  <c r="J26" i="32"/>
  <c r="I26" i="32"/>
  <c r="J25" i="32"/>
  <c r="I25" i="32"/>
  <c r="J22" i="32"/>
  <c r="I22" i="32"/>
  <c r="J21" i="32"/>
  <c r="I21" i="32"/>
  <c r="J20" i="32"/>
  <c r="I20" i="32"/>
  <c r="J17" i="32"/>
  <c r="I17" i="32"/>
  <c r="H20" i="14"/>
  <c r="F20" i="14"/>
  <c r="H19" i="14"/>
  <c r="F19" i="14"/>
  <c r="F18" i="14"/>
  <c r="F21" i="14" s="1"/>
  <c r="F13" i="14"/>
  <c r="I13" i="14" s="1"/>
  <c r="F12" i="14"/>
  <c r="I12" i="14" s="1"/>
  <c r="I14" i="14" s="1"/>
  <c r="F11" i="14"/>
  <c r="H11" i="14" s="1"/>
  <c r="S8" i="14"/>
  <c r="F7" i="14"/>
  <c r="I7" i="14" s="1"/>
  <c r="F6" i="14"/>
  <c r="I6" i="14" s="1"/>
  <c r="I8" i="14" s="1"/>
  <c r="F5" i="14"/>
  <c r="H5" i="14" s="1"/>
  <c r="J13" i="32"/>
  <c r="I13" i="32"/>
  <c r="S8" i="10"/>
  <c r="J12" i="32"/>
  <c r="I12" i="32"/>
  <c r="S8" i="31"/>
  <c r="J9" i="32"/>
  <c r="I9" i="32"/>
  <c r="J8" i="32"/>
  <c r="I8" i="32"/>
  <c r="J7" i="32"/>
  <c r="I7" i="32"/>
  <c r="L21" i="14" l="1"/>
  <c r="N21" i="14" s="1"/>
  <c r="K21" i="14"/>
  <c r="M21" i="14" s="1"/>
  <c r="F8" i="14"/>
  <c r="K8" i="14" s="1"/>
  <c r="F14" i="14"/>
  <c r="K14" i="14" s="1"/>
  <c r="H6" i="14"/>
  <c r="J6" i="14" s="1"/>
  <c r="H7" i="14"/>
  <c r="J7" i="14" s="1"/>
  <c r="H12" i="14"/>
  <c r="J12" i="14" s="1"/>
  <c r="H13" i="14"/>
  <c r="J13" i="14" s="1"/>
  <c r="I19" i="14"/>
  <c r="I21" i="14" s="1"/>
  <c r="I20" i="14"/>
  <c r="H18" i="14"/>
  <c r="H21" i="14" s="1"/>
  <c r="G21" i="14" s="1"/>
  <c r="J8" i="14" l="1"/>
  <c r="L14" i="14"/>
  <c r="N14" i="14" s="1"/>
  <c r="M14" i="14"/>
  <c r="J14" i="14"/>
  <c r="L8" i="14"/>
  <c r="N8" i="14" s="1"/>
  <c r="M8" i="14"/>
  <c r="H14" i="14"/>
  <c r="G14" i="14" s="1"/>
  <c r="J20" i="14"/>
  <c r="H8" i="14"/>
  <c r="G8" i="14" s="1"/>
  <c r="J19" i="14"/>
  <c r="J21" i="14" l="1"/>
  <c r="J5" i="32" l="1"/>
  <c r="I5" i="32"/>
  <c r="I4" i="32"/>
  <c r="J4" i="32" l="1"/>
  <c r="S8" i="13" l="1"/>
  <c r="S8" i="20" l="1"/>
  <c r="F22" i="32" s="1"/>
  <c r="S8" i="11"/>
  <c r="S8" i="16"/>
  <c r="S8" i="15"/>
  <c r="F20" i="24" l="1"/>
  <c r="H20" i="24" s="1"/>
  <c r="F19" i="24"/>
  <c r="H19" i="24" s="1"/>
  <c r="F18" i="24"/>
  <c r="F21" i="24" s="1"/>
  <c r="H13" i="24"/>
  <c r="F13" i="24"/>
  <c r="F12" i="24"/>
  <c r="H12" i="24" s="1"/>
  <c r="F11" i="24"/>
  <c r="F14" i="24" s="1"/>
  <c r="F7" i="24"/>
  <c r="F6" i="24"/>
  <c r="F5" i="24"/>
  <c r="H5" i="24" s="1"/>
  <c r="L14" i="24" l="1"/>
  <c r="N14" i="24" s="1"/>
  <c r="H26" i="32" s="1"/>
  <c r="K14" i="24"/>
  <c r="M14" i="24" s="1"/>
  <c r="L21" i="24"/>
  <c r="N21" i="24" s="1"/>
  <c r="G26" i="32" s="1"/>
  <c r="K21" i="24"/>
  <c r="M21" i="24" s="1"/>
  <c r="I6" i="24"/>
  <c r="I7" i="24"/>
  <c r="F8" i="24"/>
  <c r="I19" i="24"/>
  <c r="I20" i="24"/>
  <c r="H6" i="24"/>
  <c r="J6" i="24" s="1"/>
  <c r="H7" i="24"/>
  <c r="J7" i="24" s="1"/>
  <c r="I12" i="24"/>
  <c r="I13" i="24"/>
  <c r="H18" i="24"/>
  <c r="H21" i="24" s="1"/>
  <c r="G21" i="24" s="1"/>
  <c r="H11" i="24"/>
  <c r="H14" i="24" s="1"/>
  <c r="G14" i="24" s="1"/>
  <c r="F27" i="18"/>
  <c r="H27" i="18" s="1"/>
  <c r="F26" i="18"/>
  <c r="I26" i="18" s="1"/>
  <c r="F25" i="18"/>
  <c r="S8" i="18"/>
  <c r="S8" i="19"/>
  <c r="H26" i="18" l="1"/>
  <c r="L8" i="24"/>
  <c r="N8" i="24" s="1"/>
  <c r="K8" i="24"/>
  <c r="M8" i="24" s="1"/>
  <c r="J19" i="24"/>
  <c r="J8" i="24"/>
  <c r="I8" i="24"/>
  <c r="I14" i="24"/>
  <c r="I21" i="24"/>
  <c r="J12" i="24"/>
  <c r="H8" i="24"/>
  <c r="G8" i="24" s="1"/>
  <c r="J20" i="24"/>
  <c r="J13" i="24"/>
  <c r="F28" i="18"/>
  <c r="I27" i="18"/>
  <c r="I28" i="18" s="1"/>
  <c r="H25" i="18"/>
  <c r="H28" i="18" s="1"/>
  <c r="G28" i="18" s="1"/>
  <c r="J21" i="24" l="1"/>
  <c r="L28" i="18"/>
  <c r="N28" i="18" s="1"/>
  <c r="K28" i="18"/>
  <c r="M28" i="18" s="1"/>
  <c r="J14" i="24"/>
  <c r="J27" i="18"/>
  <c r="J26" i="18"/>
  <c r="J28" i="18" l="1"/>
  <c r="F20" i="26" l="1"/>
  <c r="F19" i="26"/>
  <c r="F18" i="26"/>
  <c r="F13" i="26"/>
  <c r="I13" i="26" s="1"/>
  <c r="F12" i="26"/>
  <c r="F11" i="26"/>
  <c r="H11" i="26" s="1"/>
  <c r="F7" i="26"/>
  <c r="F6" i="26"/>
  <c r="F5" i="26"/>
  <c r="H5" i="26" s="1"/>
  <c r="F20" i="27"/>
  <c r="H20" i="27" s="1"/>
  <c r="F19" i="27"/>
  <c r="H19" i="27" s="1"/>
  <c r="F18" i="27"/>
  <c r="F13" i="27"/>
  <c r="H13" i="27" s="1"/>
  <c r="F12" i="27"/>
  <c r="F11" i="27"/>
  <c r="H11" i="27" s="1"/>
  <c r="F7" i="27"/>
  <c r="F6" i="27"/>
  <c r="H6" i="27" s="1"/>
  <c r="F5" i="27"/>
  <c r="H5" i="27" s="1"/>
  <c r="F20" i="25"/>
  <c r="H20" i="25" s="1"/>
  <c r="F19" i="25"/>
  <c r="H19" i="25" s="1"/>
  <c r="F18" i="25"/>
  <c r="F13" i="25"/>
  <c r="H13" i="25" s="1"/>
  <c r="F12" i="25"/>
  <c r="F11" i="25"/>
  <c r="H11" i="25" s="1"/>
  <c r="F7" i="25"/>
  <c r="H7" i="25" s="1"/>
  <c r="F6" i="25"/>
  <c r="F5" i="25"/>
  <c r="H5" i="25" s="1"/>
  <c r="I19" i="26" l="1"/>
  <c r="I7" i="27"/>
  <c r="I20" i="26"/>
  <c r="I21" i="26" s="1"/>
  <c r="J13" i="25"/>
  <c r="F8" i="25"/>
  <c r="J7" i="25"/>
  <c r="F21" i="25"/>
  <c r="I19" i="25"/>
  <c r="I20" i="25"/>
  <c r="F14" i="25"/>
  <c r="H20" i="26"/>
  <c r="H19" i="26"/>
  <c r="F21" i="26"/>
  <c r="F14" i="26"/>
  <c r="F8" i="26"/>
  <c r="I7" i="26"/>
  <c r="H6" i="26"/>
  <c r="J6" i="26" s="1"/>
  <c r="H7" i="26"/>
  <c r="J7" i="26" s="1"/>
  <c r="H12" i="26"/>
  <c r="J12" i="26" s="1"/>
  <c r="H13" i="26"/>
  <c r="J13" i="26" s="1"/>
  <c r="I6" i="26"/>
  <c r="I8" i="26" s="1"/>
  <c r="I12" i="26"/>
  <c r="I14" i="26" s="1"/>
  <c r="H18" i="26"/>
  <c r="F21" i="27"/>
  <c r="J13" i="27"/>
  <c r="I12" i="27"/>
  <c r="J6" i="27"/>
  <c r="F8" i="27"/>
  <c r="F14" i="27"/>
  <c r="H7" i="27"/>
  <c r="J7" i="27" s="1"/>
  <c r="H12" i="27"/>
  <c r="J12" i="27" s="1"/>
  <c r="I20" i="27"/>
  <c r="I6" i="27"/>
  <c r="I8" i="27" s="1"/>
  <c r="I13" i="27"/>
  <c r="H18" i="27"/>
  <c r="H21" i="27" s="1"/>
  <c r="G21" i="27" s="1"/>
  <c r="I19" i="27"/>
  <c r="I21" i="27" s="1"/>
  <c r="H6" i="25"/>
  <c r="J6" i="25" s="1"/>
  <c r="H12" i="25"/>
  <c r="J12" i="25" s="1"/>
  <c r="I6" i="25"/>
  <c r="I7" i="25"/>
  <c r="I12" i="25"/>
  <c r="I13" i="25"/>
  <c r="H18" i="25"/>
  <c r="H21" i="25" s="1"/>
  <c r="L14" i="27" l="1"/>
  <c r="K14" i="27"/>
  <c r="L14" i="26"/>
  <c r="N14" i="26" s="1"/>
  <c r="H28" i="32" s="1"/>
  <c r="K14" i="26"/>
  <c r="L21" i="25"/>
  <c r="K21" i="25"/>
  <c r="N21" i="27"/>
  <c r="G29" i="32" s="1"/>
  <c r="K21" i="27"/>
  <c r="M21" i="27" s="1"/>
  <c r="L21" i="27"/>
  <c r="H14" i="26"/>
  <c r="G14" i="26" s="1"/>
  <c r="M14" i="25"/>
  <c r="L14" i="25"/>
  <c r="K14" i="25"/>
  <c r="N8" i="26"/>
  <c r="K8" i="26"/>
  <c r="M8" i="26" s="1"/>
  <c r="L8" i="26"/>
  <c r="K8" i="27"/>
  <c r="L8" i="27"/>
  <c r="N8" i="27" s="1"/>
  <c r="H29" i="32" s="1"/>
  <c r="I14" i="27"/>
  <c r="H21" i="26"/>
  <c r="G21" i="26" s="1"/>
  <c r="K21" i="26"/>
  <c r="M21" i="26" s="1"/>
  <c r="L21" i="26"/>
  <c r="N21" i="26" s="1"/>
  <c r="G28" i="32" s="1"/>
  <c r="K8" i="25"/>
  <c r="M8" i="25" s="1"/>
  <c r="L8" i="25"/>
  <c r="J8" i="25"/>
  <c r="N8" i="25"/>
  <c r="N14" i="25"/>
  <c r="H27" i="32" s="1"/>
  <c r="G21" i="25"/>
  <c r="N21" i="25"/>
  <c r="G27" i="32" s="1"/>
  <c r="M21" i="25"/>
  <c r="J14" i="25"/>
  <c r="J19" i="25"/>
  <c r="J20" i="25"/>
  <c r="J21" i="25" s="1"/>
  <c r="I21" i="25"/>
  <c r="J19" i="26"/>
  <c r="J14" i="26"/>
  <c r="M14" i="26"/>
  <c r="J8" i="26"/>
  <c r="H8" i="26"/>
  <c r="G8" i="26" s="1"/>
  <c r="J20" i="26"/>
  <c r="J21" i="26" s="1"/>
  <c r="J14" i="27"/>
  <c r="J8" i="27"/>
  <c r="J20" i="27"/>
  <c r="J19" i="27"/>
  <c r="M14" i="27"/>
  <c r="N14" i="27"/>
  <c r="H14" i="27"/>
  <c r="G14" i="27" s="1"/>
  <c r="M8" i="27"/>
  <c r="H8" i="27"/>
  <c r="G8" i="27" s="1"/>
  <c r="I14" i="25"/>
  <c r="H8" i="25"/>
  <c r="G8" i="25" s="1"/>
  <c r="H14" i="25"/>
  <c r="G14" i="25" s="1"/>
  <c r="I8" i="25"/>
  <c r="J21" i="27" l="1"/>
  <c r="F20" i="23" l="1"/>
  <c r="H20" i="23" s="1"/>
  <c r="F19" i="23"/>
  <c r="H19" i="23" s="1"/>
  <c r="F18" i="23"/>
  <c r="F13" i="23"/>
  <c r="F12" i="23"/>
  <c r="F11" i="23"/>
  <c r="H11" i="23" s="1"/>
  <c r="F7" i="23"/>
  <c r="F6" i="23"/>
  <c r="F5" i="23"/>
  <c r="H5" i="23" s="1"/>
  <c r="F20" i="22"/>
  <c r="H20" i="22" s="1"/>
  <c r="J20" i="22" s="1"/>
  <c r="H19" i="22"/>
  <c r="F19" i="22"/>
  <c r="F18" i="22"/>
  <c r="H18" i="22" s="1"/>
  <c r="F13" i="22"/>
  <c r="I13" i="22" s="1"/>
  <c r="F12" i="22"/>
  <c r="F11" i="22"/>
  <c r="H11" i="22" s="1"/>
  <c r="F7" i="22"/>
  <c r="I7" i="22" s="1"/>
  <c r="F6" i="22"/>
  <c r="I6" i="22" s="1"/>
  <c r="F5" i="22"/>
  <c r="H5" i="22" s="1"/>
  <c r="F20" i="21"/>
  <c r="I20" i="21" s="1"/>
  <c r="F19" i="21"/>
  <c r="F18" i="21"/>
  <c r="H18" i="21" s="1"/>
  <c r="F13" i="21"/>
  <c r="H13" i="21" s="1"/>
  <c r="F12" i="21"/>
  <c r="H12" i="21" s="1"/>
  <c r="F11" i="21"/>
  <c r="H11" i="21" s="1"/>
  <c r="F7" i="21"/>
  <c r="H7" i="21" s="1"/>
  <c r="F6" i="21"/>
  <c r="H6" i="21" s="1"/>
  <c r="F5" i="21"/>
  <c r="H21" i="22" l="1"/>
  <c r="J19" i="22"/>
  <c r="J21" i="22" s="1"/>
  <c r="I20" i="22"/>
  <c r="I12" i="22"/>
  <c r="I14" i="22" s="1"/>
  <c r="F21" i="22"/>
  <c r="F21" i="23"/>
  <c r="I12" i="23"/>
  <c r="I13" i="23"/>
  <c r="I6" i="23"/>
  <c r="I7" i="23"/>
  <c r="F8" i="23"/>
  <c r="K8" i="23" s="1"/>
  <c r="F14" i="23"/>
  <c r="H6" i="23"/>
  <c r="J6" i="23" s="1"/>
  <c r="H7" i="23"/>
  <c r="J7" i="23" s="1"/>
  <c r="H12" i="23"/>
  <c r="J12" i="23" s="1"/>
  <c r="H13" i="23"/>
  <c r="J13" i="23" s="1"/>
  <c r="I19" i="23"/>
  <c r="I20" i="23"/>
  <c r="H18" i="23"/>
  <c r="H21" i="23" s="1"/>
  <c r="I8" i="22"/>
  <c r="G21" i="22"/>
  <c r="F8" i="22"/>
  <c r="F14" i="22"/>
  <c r="H6" i="22"/>
  <c r="J6" i="22" s="1"/>
  <c r="J8" i="22" s="1"/>
  <c r="H7" i="22"/>
  <c r="J7" i="22" s="1"/>
  <c r="H12" i="22"/>
  <c r="J12" i="22" s="1"/>
  <c r="H13" i="22"/>
  <c r="J13" i="22" s="1"/>
  <c r="I19" i="22"/>
  <c r="I21" i="22" s="1"/>
  <c r="F21" i="21"/>
  <c r="H14" i="21"/>
  <c r="I6" i="21"/>
  <c r="J12" i="21"/>
  <c r="J13" i="21"/>
  <c r="I7" i="21"/>
  <c r="I12" i="21"/>
  <c r="I14" i="21" s="1"/>
  <c r="H5" i="21"/>
  <c r="H8" i="21" s="1"/>
  <c r="F8" i="21"/>
  <c r="F14" i="21"/>
  <c r="H19" i="21"/>
  <c r="J19" i="21" s="1"/>
  <c r="H20" i="21"/>
  <c r="J20" i="21" s="1"/>
  <c r="I19" i="21"/>
  <c r="I21" i="21" s="1"/>
  <c r="I13" i="21"/>
  <c r="G14" i="21" l="1"/>
  <c r="L14" i="21"/>
  <c r="N14" i="21" s="1"/>
  <c r="H23" i="32" s="1"/>
  <c r="K14" i="21"/>
  <c r="M14" i="21" s="1"/>
  <c r="I8" i="21"/>
  <c r="K8" i="21"/>
  <c r="M8" i="21" s="1"/>
  <c r="L8" i="21"/>
  <c r="N8" i="21" s="1"/>
  <c r="L21" i="21"/>
  <c r="N21" i="21" s="1"/>
  <c r="G23" i="32" s="1"/>
  <c r="K21" i="21"/>
  <c r="M21" i="21" s="1"/>
  <c r="I14" i="23"/>
  <c r="H14" i="23"/>
  <c r="G14" i="23" s="1"/>
  <c r="K21" i="23"/>
  <c r="M21" i="23" s="1"/>
  <c r="L21" i="23"/>
  <c r="N21" i="23" s="1"/>
  <c r="G25" i="32" s="1"/>
  <c r="K14" i="23"/>
  <c r="M14" i="23" s="1"/>
  <c r="L14" i="23"/>
  <c r="N14" i="23" s="1"/>
  <c r="M8" i="23"/>
  <c r="L8" i="23"/>
  <c r="N8" i="23" s="1"/>
  <c r="H25" i="32" s="1"/>
  <c r="G21" i="23"/>
  <c r="J20" i="23"/>
  <c r="I8" i="23"/>
  <c r="J8" i="23"/>
  <c r="J19" i="23"/>
  <c r="I21" i="23"/>
  <c r="J14" i="23"/>
  <c r="H8" i="23"/>
  <c r="G8" i="23" s="1"/>
  <c r="J14" i="22"/>
  <c r="H8" i="22"/>
  <c r="G8" i="22" s="1"/>
  <c r="H14" i="22"/>
  <c r="G14" i="22" s="1"/>
  <c r="J14" i="21"/>
  <c r="G8" i="21"/>
  <c r="J7" i="21"/>
  <c r="J6" i="21"/>
  <c r="H21" i="21"/>
  <c r="G21" i="21" s="1"/>
  <c r="J21" i="21"/>
  <c r="J21" i="23" l="1"/>
  <c r="J8" i="21"/>
  <c r="F20" i="30" l="1"/>
  <c r="H20" i="30" s="1"/>
  <c r="F19" i="30"/>
  <c r="H19" i="30" s="1"/>
  <c r="F18" i="30"/>
  <c r="F13" i="30"/>
  <c r="F12" i="30"/>
  <c r="F11" i="30"/>
  <c r="H11" i="30" s="1"/>
  <c r="F7" i="30"/>
  <c r="F6" i="30"/>
  <c r="F5" i="30"/>
  <c r="H5" i="30" s="1"/>
  <c r="F20" i="29"/>
  <c r="H20" i="29" s="1"/>
  <c r="F19" i="29"/>
  <c r="H19" i="29" s="1"/>
  <c r="F18" i="29"/>
  <c r="H18" i="29" s="1"/>
  <c r="F13" i="29"/>
  <c r="H13" i="29" s="1"/>
  <c r="F12" i="29"/>
  <c r="H12" i="29" s="1"/>
  <c r="F11" i="29"/>
  <c r="H11" i="29" s="1"/>
  <c r="F7" i="29"/>
  <c r="H7" i="29" s="1"/>
  <c r="F6" i="29"/>
  <c r="H6" i="29" s="1"/>
  <c r="F5" i="29"/>
  <c r="H5" i="29" s="1"/>
  <c r="F21" i="30" l="1"/>
  <c r="I19" i="30"/>
  <c r="I20" i="30"/>
  <c r="I12" i="30"/>
  <c r="I13" i="30"/>
  <c r="I6" i="30"/>
  <c r="I7" i="30"/>
  <c r="J20" i="29"/>
  <c r="F21" i="29"/>
  <c r="I20" i="29"/>
  <c r="J13" i="29"/>
  <c r="J12" i="29"/>
  <c r="J6" i="29"/>
  <c r="J7" i="29"/>
  <c r="F8" i="30"/>
  <c r="F14" i="30"/>
  <c r="H6" i="30"/>
  <c r="J6" i="30" s="1"/>
  <c r="H7" i="30"/>
  <c r="J7" i="30" s="1"/>
  <c r="H12" i="30"/>
  <c r="J12" i="30" s="1"/>
  <c r="H13" i="30"/>
  <c r="J13" i="30" s="1"/>
  <c r="H18" i="30"/>
  <c r="H21" i="30" s="1"/>
  <c r="H8" i="29"/>
  <c r="H14" i="29"/>
  <c r="I6" i="29"/>
  <c r="F8" i="29"/>
  <c r="F14" i="29"/>
  <c r="I19" i="29"/>
  <c r="I21" i="29" s="1"/>
  <c r="H21" i="29"/>
  <c r="G21" i="29" s="1"/>
  <c r="I7" i="29"/>
  <c r="I12" i="29"/>
  <c r="I13" i="29"/>
  <c r="J19" i="29"/>
  <c r="J21" i="29" s="1"/>
  <c r="K14" i="29" l="1"/>
  <c r="M14" i="29" s="1"/>
  <c r="L14" i="29"/>
  <c r="N14" i="29" s="1"/>
  <c r="K8" i="29"/>
  <c r="M8" i="29" s="1"/>
  <c r="L8" i="29"/>
  <c r="N8" i="29" s="1"/>
  <c r="H30" i="32" s="1"/>
  <c r="K21" i="29"/>
  <c r="M21" i="29" s="1"/>
  <c r="L21" i="29"/>
  <c r="N21" i="29" s="1"/>
  <c r="G30" i="32" s="1"/>
  <c r="G21" i="30"/>
  <c r="I21" i="30"/>
  <c r="I14" i="30"/>
  <c r="I8" i="30"/>
  <c r="H8" i="30"/>
  <c r="G8" i="30" s="1"/>
  <c r="J8" i="30"/>
  <c r="G8" i="29"/>
  <c r="G14" i="29"/>
  <c r="J14" i="29"/>
  <c r="J8" i="29"/>
  <c r="J14" i="30"/>
  <c r="J20" i="30"/>
  <c r="H14" i="30"/>
  <c r="G14" i="30" s="1"/>
  <c r="J19" i="30"/>
  <c r="I14" i="29"/>
  <c r="I8" i="29"/>
  <c r="J21" i="30" l="1"/>
  <c r="F20" i="20" l="1"/>
  <c r="I20" i="20" s="1"/>
  <c r="F19" i="20"/>
  <c r="I19" i="20" s="1"/>
  <c r="I21" i="20" s="1"/>
  <c r="F18" i="20"/>
  <c r="F13" i="20"/>
  <c r="F12" i="20"/>
  <c r="H11" i="20"/>
  <c r="F11" i="20"/>
  <c r="F7" i="20"/>
  <c r="F6" i="20"/>
  <c r="F5" i="20"/>
  <c r="H5" i="20" s="1"/>
  <c r="F20" i="19"/>
  <c r="F19" i="19"/>
  <c r="H19" i="19" s="1"/>
  <c r="F18" i="19"/>
  <c r="F13" i="19"/>
  <c r="I13" i="19" s="1"/>
  <c r="F12" i="19"/>
  <c r="F11" i="19"/>
  <c r="H11" i="19" s="1"/>
  <c r="F7" i="19"/>
  <c r="I7" i="19" s="1"/>
  <c r="F6" i="19"/>
  <c r="I6" i="19" s="1"/>
  <c r="I8" i="19" s="1"/>
  <c r="F5" i="19"/>
  <c r="H5" i="19" s="1"/>
  <c r="F20" i="18"/>
  <c r="H20" i="18" s="1"/>
  <c r="F19" i="18"/>
  <c r="H19" i="18" s="1"/>
  <c r="F18" i="18"/>
  <c r="F13" i="18"/>
  <c r="F12" i="18"/>
  <c r="F11" i="18"/>
  <c r="H11" i="18" s="1"/>
  <c r="F7" i="18"/>
  <c r="F6" i="18"/>
  <c r="H5" i="18"/>
  <c r="F5" i="18"/>
  <c r="F20" i="16"/>
  <c r="H20" i="16" s="1"/>
  <c r="F19" i="16"/>
  <c r="H19" i="16" s="1"/>
  <c r="F18" i="16"/>
  <c r="F13" i="16"/>
  <c r="F12" i="16"/>
  <c r="F11" i="16"/>
  <c r="H11" i="16" s="1"/>
  <c r="F7" i="16"/>
  <c r="I7" i="16" s="1"/>
  <c r="F6" i="16"/>
  <c r="F5" i="16"/>
  <c r="H5" i="16" s="1"/>
  <c r="F20" i="15"/>
  <c r="H20" i="15" s="1"/>
  <c r="F19" i="15"/>
  <c r="H19" i="15" s="1"/>
  <c r="F18" i="15"/>
  <c r="F13" i="15"/>
  <c r="H13" i="15" s="1"/>
  <c r="F12" i="15"/>
  <c r="F11" i="15"/>
  <c r="H11" i="15" s="1"/>
  <c r="F7" i="15"/>
  <c r="H7" i="15" s="1"/>
  <c r="F6" i="15"/>
  <c r="F5" i="15"/>
  <c r="H5" i="15" s="1"/>
  <c r="F20" i="13"/>
  <c r="H20" i="13" s="1"/>
  <c r="F19" i="13"/>
  <c r="H19" i="13" s="1"/>
  <c r="F18" i="13"/>
  <c r="F13" i="13"/>
  <c r="F12" i="13"/>
  <c r="F11" i="13"/>
  <c r="H11" i="13" s="1"/>
  <c r="F7" i="13"/>
  <c r="F6" i="13"/>
  <c r="F5" i="13"/>
  <c r="H5" i="13" s="1"/>
  <c r="H19" i="20" l="1"/>
  <c r="J19" i="20" s="1"/>
  <c r="J21" i="20" s="1"/>
  <c r="F21" i="20"/>
  <c r="H20" i="20"/>
  <c r="F21" i="16"/>
  <c r="K21" i="16" s="1"/>
  <c r="M21" i="16" s="1"/>
  <c r="I20" i="16"/>
  <c r="H18" i="16"/>
  <c r="H21" i="16" s="1"/>
  <c r="I19" i="16"/>
  <c r="F21" i="15"/>
  <c r="L21" i="15" s="1"/>
  <c r="N21" i="15" s="1"/>
  <c r="G18" i="32" s="1"/>
  <c r="I12" i="20"/>
  <c r="I14" i="20" s="1"/>
  <c r="I13" i="20"/>
  <c r="I7" i="20"/>
  <c r="F8" i="20"/>
  <c r="I20" i="19"/>
  <c r="I19" i="19"/>
  <c r="F8" i="15"/>
  <c r="F14" i="15"/>
  <c r="K14" i="15" s="1"/>
  <c r="M14" i="15" s="1"/>
  <c r="I12" i="19"/>
  <c r="I14" i="19" s="1"/>
  <c r="F21" i="18"/>
  <c r="I19" i="18"/>
  <c r="I20" i="18"/>
  <c r="I12" i="18"/>
  <c r="I13" i="18"/>
  <c r="I6" i="18"/>
  <c r="I7" i="18"/>
  <c r="H20" i="19"/>
  <c r="F21" i="19"/>
  <c r="J20" i="20"/>
  <c r="H6" i="20"/>
  <c r="J6" i="20" s="1"/>
  <c r="H7" i="20"/>
  <c r="J7" i="20" s="1"/>
  <c r="H12" i="20"/>
  <c r="J12" i="20" s="1"/>
  <c r="H13" i="20"/>
  <c r="J13" i="20" s="1"/>
  <c r="F14" i="20"/>
  <c r="K14" i="20" s="1"/>
  <c r="I6" i="20"/>
  <c r="H18" i="20"/>
  <c r="F8" i="19"/>
  <c r="K8" i="19" s="1"/>
  <c r="F14" i="19"/>
  <c r="K14" i="19" s="1"/>
  <c r="H6" i="19"/>
  <c r="J6" i="19" s="1"/>
  <c r="H7" i="19"/>
  <c r="J7" i="19" s="1"/>
  <c r="H12" i="19"/>
  <c r="J12" i="19" s="1"/>
  <c r="H13" i="19"/>
  <c r="J13" i="19" s="1"/>
  <c r="H18" i="19"/>
  <c r="F14" i="18"/>
  <c r="H6" i="18"/>
  <c r="J6" i="18" s="1"/>
  <c r="H7" i="18"/>
  <c r="J7" i="18" s="1"/>
  <c r="H12" i="18"/>
  <c r="J12" i="18" s="1"/>
  <c r="H13" i="18"/>
  <c r="J13" i="18" s="1"/>
  <c r="F8" i="18"/>
  <c r="H18" i="18"/>
  <c r="H21" i="18" s="1"/>
  <c r="G21" i="18" s="1"/>
  <c r="I12" i="16"/>
  <c r="I13" i="16"/>
  <c r="I6" i="16"/>
  <c r="I8" i="16" s="1"/>
  <c r="L21" i="16"/>
  <c r="N21" i="16" s="1"/>
  <c r="G19" i="32" s="1"/>
  <c r="F8" i="16"/>
  <c r="K8" i="16" s="1"/>
  <c r="F14" i="16"/>
  <c r="K14" i="16" s="1"/>
  <c r="H6" i="16"/>
  <c r="J6" i="16" s="1"/>
  <c r="H7" i="16"/>
  <c r="J7" i="16" s="1"/>
  <c r="H12" i="16"/>
  <c r="J12" i="16" s="1"/>
  <c r="H13" i="16"/>
  <c r="J13" i="16" s="1"/>
  <c r="L8" i="15"/>
  <c r="N8" i="15" s="1"/>
  <c r="H18" i="32" s="1"/>
  <c r="L14" i="15"/>
  <c r="N14" i="15" s="1"/>
  <c r="J7" i="15"/>
  <c r="J13" i="15"/>
  <c r="H6" i="15"/>
  <c r="J6" i="15" s="1"/>
  <c r="H12" i="15"/>
  <c r="J12" i="15" s="1"/>
  <c r="I6" i="15"/>
  <c r="I7" i="15"/>
  <c r="I12" i="15"/>
  <c r="I13" i="15"/>
  <c r="H18" i="15"/>
  <c r="H21" i="15" s="1"/>
  <c r="I19" i="15"/>
  <c r="I20" i="15"/>
  <c r="F21" i="13"/>
  <c r="I19" i="13"/>
  <c r="I20" i="13"/>
  <c r="I12" i="13"/>
  <c r="I13" i="13"/>
  <c r="F8" i="13"/>
  <c r="K8" i="13" s="1"/>
  <c r="I7" i="13"/>
  <c r="F14" i="13"/>
  <c r="K14" i="13" s="1"/>
  <c r="H6" i="13"/>
  <c r="J6" i="13" s="1"/>
  <c r="H7" i="13"/>
  <c r="J7" i="13" s="1"/>
  <c r="H12" i="13"/>
  <c r="J12" i="13" s="1"/>
  <c r="H13" i="13"/>
  <c r="J13" i="13" s="1"/>
  <c r="I6" i="13"/>
  <c r="I8" i="13" s="1"/>
  <c r="H18" i="13"/>
  <c r="H21" i="13" s="1"/>
  <c r="K8" i="18" l="1"/>
  <c r="M8" i="18" s="1"/>
  <c r="L8" i="18"/>
  <c r="N8" i="18" s="1"/>
  <c r="H20" i="32" s="1"/>
  <c r="K8" i="20"/>
  <c r="M8" i="20" s="1"/>
  <c r="L8" i="20"/>
  <c r="N8" i="20" s="1"/>
  <c r="H22" i="32" s="1"/>
  <c r="H21" i="20"/>
  <c r="G21" i="20" s="1"/>
  <c r="K8" i="15"/>
  <c r="M8" i="15" s="1"/>
  <c r="G21" i="15"/>
  <c r="H21" i="19"/>
  <c r="G21" i="19" s="1"/>
  <c r="K21" i="18"/>
  <c r="M21" i="18" s="1"/>
  <c r="L21" i="18"/>
  <c r="N21" i="18" s="1"/>
  <c r="G20" i="32" s="1"/>
  <c r="L21" i="20"/>
  <c r="N21" i="20" s="1"/>
  <c r="G22" i="32" s="1"/>
  <c r="K21" i="20"/>
  <c r="M21" i="20" s="1"/>
  <c r="I21" i="16"/>
  <c r="K21" i="15"/>
  <c r="M21" i="15" s="1"/>
  <c r="G21" i="16"/>
  <c r="J20" i="16"/>
  <c r="J19" i="16"/>
  <c r="L21" i="13"/>
  <c r="N21" i="13" s="1"/>
  <c r="K21" i="13"/>
  <c r="M21" i="13" s="1"/>
  <c r="I21" i="15"/>
  <c r="J20" i="15"/>
  <c r="K21" i="19"/>
  <c r="M21" i="19" s="1"/>
  <c r="L14" i="20"/>
  <c r="N14" i="20" s="1"/>
  <c r="M14" i="20"/>
  <c r="I8" i="20"/>
  <c r="I21" i="19"/>
  <c r="L21" i="19"/>
  <c r="N21" i="19" s="1"/>
  <c r="G21" i="32" s="1"/>
  <c r="L14" i="18"/>
  <c r="N14" i="18" s="1"/>
  <c r="K14" i="18"/>
  <c r="M14" i="18" s="1"/>
  <c r="L8" i="13"/>
  <c r="N8" i="13" s="1"/>
  <c r="M8" i="13"/>
  <c r="L14" i="13"/>
  <c r="N14" i="13" s="1"/>
  <c r="M14" i="13"/>
  <c r="I14" i="15"/>
  <c r="H8" i="15"/>
  <c r="G8" i="15" s="1"/>
  <c r="J14" i="15"/>
  <c r="J8" i="16"/>
  <c r="M8" i="16"/>
  <c r="L8" i="16"/>
  <c r="N8" i="16" s="1"/>
  <c r="H19" i="32" s="1"/>
  <c r="H8" i="19"/>
  <c r="G8" i="19" s="1"/>
  <c r="I21" i="18"/>
  <c r="I14" i="18"/>
  <c r="J8" i="18"/>
  <c r="I8" i="18"/>
  <c r="J14" i="20"/>
  <c r="H14" i="20"/>
  <c r="G14" i="20" s="1"/>
  <c r="J8" i="20"/>
  <c r="H8" i="20"/>
  <c r="G8" i="20" s="1"/>
  <c r="L14" i="19"/>
  <c r="N14" i="19" s="1"/>
  <c r="M14" i="19"/>
  <c r="J14" i="19"/>
  <c r="L8" i="19"/>
  <c r="N8" i="19" s="1"/>
  <c r="H21" i="32" s="1"/>
  <c r="M8" i="19"/>
  <c r="J20" i="19"/>
  <c r="J19" i="19"/>
  <c r="J8" i="19"/>
  <c r="H14" i="19"/>
  <c r="G14" i="19" s="1"/>
  <c r="H8" i="18"/>
  <c r="G8" i="18" s="1"/>
  <c r="J14" i="18"/>
  <c r="J20" i="18"/>
  <c r="J19" i="18"/>
  <c r="H14" i="18"/>
  <c r="G14" i="18" s="1"/>
  <c r="I14" i="16"/>
  <c r="H8" i="16"/>
  <c r="G8" i="16" s="1"/>
  <c r="J14" i="16"/>
  <c r="L14" i="16"/>
  <c r="N14" i="16" s="1"/>
  <c r="M14" i="16"/>
  <c r="H14" i="16"/>
  <c r="G14" i="16" s="1"/>
  <c r="I8" i="15"/>
  <c r="J19" i="15"/>
  <c r="J21" i="15" s="1"/>
  <c r="J8" i="15"/>
  <c r="H14" i="15"/>
  <c r="G14" i="15" s="1"/>
  <c r="G21" i="13"/>
  <c r="I21" i="13"/>
  <c r="I14" i="13"/>
  <c r="J14" i="13"/>
  <c r="J20" i="13"/>
  <c r="J19" i="13"/>
  <c r="J8" i="13"/>
  <c r="H14" i="13"/>
  <c r="G14" i="13" s="1"/>
  <c r="H8" i="13"/>
  <c r="G8" i="13" s="1"/>
  <c r="J21" i="16" l="1"/>
  <c r="J21" i="18"/>
  <c r="J21" i="19"/>
  <c r="J21" i="13"/>
  <c r="F20" i="31" l="1"/>
  <c r="F19" i="31"/>
  <c r="I19" i="31" s="1"/>
  <c r="H18" i="31"/>
  <c r="F18" i="31"/>
  <c r="F13" i="31"/>
  <c r="H13" i="31" s="1"/>
  <c r="F12" i="31"/>
  <c r="H12" i="31" s="1"/>
  <c r="F11" i="31"/>
  <c r="H11" i="31" s="1"/>
  <c r="F7" i="31"/>
  <c r="H7" i="31" s="1"/>
  <c r="F6" i="31"/>
  <c r="H6" i="31" s="1"/>
  <c r="F5" i="31"/>
  <c r="H5" i="31" s="1"/>
  <c r="F20" i="12"/>
  <c r="H20" i="12" s="1"/>
  <c r="F19" i="12"/>
  <c r="H19" i="12" s="1"/>
  <c r="F18" i="12"/>
  <c r="F13" i="12"/>
  <c r="H13" i="12" s="1"/>
  <c r="F12" i="12"/>
  <c r="H12" i="12" s="1"/>
  <c r="F11" i="12"/>
  <c r="H11" i="12" s="1"/>
  <c r="F7" i="12"/>
  <c r="H7" i="12" s="1"/>
  <c r="F6" i="12"/>
  <c r="H6" i="12" s="1"/>
  <c r="F5" i="12"/>
  <c r="H5" i="12" s="1"/>
  <c r="H19" i="31" l="1"/>
  <c r="I20" i="31"/>
  <c r="J12" i="31"/>
  <c r="J13" i="31"/>
  <c r="F21" i="12"/>
  <c r="F21" i="31"/>
  <c r="L21" i="31" s="1"/>
  <c r="N21" i="31" s="1"/>
  <c r="G12" i="32" s="1"/>
  <c r="H20" i="31"/>
  <c r="H21" i="31" s="1"/>
  <c r="G21" i="31" s="1"/>
  <c r="I21" i="31"/>
  <c r="K21" i="31"/>
  <c r="M21" i="31" s="1"/>
  <c r="J6" i="31"/>
  <c r="J7" i="31"/>
  <c r="H8" i="31"/>
  <c r="H14" i="31"/>
  <c r="I6" i="31"/>
  <c r="I7" i="31"/>
  <c r="I12" i="31"/>
  <c r="I13" i="31"/>
  <c r="J19" i="31"/>
  <c r="J20" i="31"/>
  <c r="F8" i="31"/>
  <c r="K8" i="31" s="1"/>
  <c r="M8" i="31" s="1"/>
  <c r="F14" i="31"/>
  <c r="K14" i="31" s="1"/>
  <c r="H14" i="12"/>
  <c r="J6" i="12"/>
  <c r="H8" i="12"/>
  <c r="J12" i="12"/>
  <c r="J13" i="12"/>
  <c r="J7" i="12"/>
  <c r="I19" i="12"/>
  <c r="I6" i="12"/>
  <c r="I13" i="12"/>
  <c r="F8" i="12"/>
  <c r="F14" i="12"/>
  <c r="I20" i="12"/>
  <c r="I7" i="12"/>
  <c r="I12" i="12"/>
  <c r="H18" i="12"/>
  <c r="H21" i="12" s="1"/>
  <c r="L8" i="12" l="1"/>
  <c r="N8" i="12" s="1"/>
  <c r="K8" i="12"/>
  <c r="M8" i="12" s="1"/>
  <c r="L14" i="12"/>
  <c r="N14" i="12" s="1"/>
  <c r="K14" i="12"/>
  <c r="M14" i="12" s="1"/>
  <c r="L21" i="12"/>
  <c r="N21" i="12" s="1"/>
  <c r="K21" i="12"/>
  <c r="M21" i="12" s="1"/>
  <c r="J8" i="31"/>
  <c r="L8" i="31"/>
  <c r="N8" i="31" s="1"/>
  <c r="H12" i="32" s="1"/>
  <c r="L14" i="31"/>
  <c r="N14" i="31" s="1"/>
  <c r="G14" i="31"/>
  <c r="I14" i="31"/>
  <c r="J14" i="31"/>
  <c r="G14" i="12"/>
  <c r="G21" i="12"/>
  <c r="I14" i="12"/>
  <c r="J14" i="12"/>
  <c r="I8" i="12"/>
  <c r="G8" i="31"/>
  <c r="J21" i="31"/>
  <c r="I8" i="31"/>
  <c r="M14" i="31"/>
  <c r="J8" i="12"/>
  <c r="I21" i="12"/>
  <c r="J20" i="12"/>
  <c r="G8" i="12"/>
  <c r="J19" i="12"/>
  <c r="J21" i="12" l="1"/>
  <c r="F20" i="10" l="1"/>
  <c r="F19" i="10"/>
  <c r="F18" i="10"/>
  <c r="H18" i="10" s="1"/>
  <c r="F13" i="10"/>
  <c r="H13" i="10" s="1"/>
  <c r="F12" i="10"/>
  <c r="H12" i="10" s="1"/>
  <c r="F11" i="10"/>
  <c r="F7" i="10"/>
  <c r="I7" i="10" s="1"/>
  <c r="F6" i="10"/>
  <c r="I6" i="10" s="1"/>
  <c r="F5" i="10"/>
  <c r="H5" i="10" s="1"/>
  <c r="I19" i="10" l="1"/>
  <c r="I20" i="10"/>
  <c r="F14" i="10"/>
  <c r="H7" i="10"/>
  <c r="J7" i="10" s="1"/>
  <c r="H6" i="10"/>
  <c r="F8" i="10"/>
  <c r="K8" i="10" s="1"/>
  <c r="L14" i="10"/>
  <c r="N14" i="10" s="1"/>
  <c r="I12" i="10"/>
  <c r="H11" i="10"/>
  <c r="H14" i="10" s="1"/>
  <c r="I13" i="10"/>
  <c r="I8" i="10"/>
  <c r="J12" i="10"/>
  <c r="F21" i="10"/>
  <c r="K21" i="10" s="1"/>
  <c r="H19" i="10"/>
  <c r="J19" i="10" s="1"/>
  <c r="H20" i="10"/>
  <c r="J20" i="10" s="1"/>
  <c r="J6" i="10"/>
  <c r="F20" i="11"/>
  <c r="F19" i="11"/>
  <c r="F18" i="11"/>
  <c r="H18" i="11" s="1"/>
  <c r="F13" i="11"/>
  <c r="H13" i="11" s="1"/>
  <c r="F12" i="11"/>
  <c r="H12" i="11" s="1"/>
  <c r="F11" i="11"/>
  <c r="F7" i="11"/>
  <c r="H7" i="11" s="1"/>
  <c r="F6" i="11"/>
  <c r="H6" i="11" s="1"/>
  <c r="F5" i="11"/>
  <c r="K14" i="10" l="1"/>
  <c r="M14" i="10" s="1"/>
  <c r="M21" i="10"/>
  <c r="L21" i="10"/>
  <c r="N21" i="10" s="1"/>
  <c r="G13" i="32" s="1"/>
  <c r="I21" i="10"/>
  <c r="G14" i="10"/>
  <c r="H8" i="10"/>
  <c r="G8" i="10" s="1"/>
  <c r="M8" i="10"/>
  <c r="L8" i="10"/>
  <c r="N8" i="10" s="1"/>
  <c r="H13" i="32" s="1"/>
  <c r="I14" i="10"/>
  <c r="J13" i="10"/>
  <c r="J14" i="10" s="1"/>
  <c r="J21" i="10"/>
  <c r="J8" i="10"/>
  <c r="H21" i="10"/>
  <c r="G21" i="10" s="1"/>
  <c r="I19" i="11"/>
  <c r="I20" i="11"/>
  <c r="F14" i="11"/>
  <c r="I13" i="11"/>
  <c r="H11" i="11"/>
  <c r="H14" i="11" s="1"/>
  <c r="I12" i="11"/>
  <c r="F8" i="11"/>
  <c r="K8" i="11" s="1"/>
  <c r="I7" i="11"/>
  <c r="H5" i="11"/>
  <c r="H8" i="11" s="1"/>
  <c r="I6" i="11"/>
  <c r="F21" i="11"/>
  <c r="H19" i="11"/>
  <c r="J19" i="11" s="1"/>
  <c r="H20" i="11"/>
  <c r="J20" i="11" s="1"/>
  <c r="S8" i="8"/>
  <c r="S9" i="6"/>
  <c r="S8" i="5"/>
  <c r="S8" i="7"/>
  <c r="S9" i="3"/>
  <c r="S8" i="2"/>
  <c r="M8" i="11" l="1"/>
  <c r="L21" i="11"/>
  <c r="N21" i="11" s="1"/>
  <c r="G14" i="32" s="1"/>
  <c r="K21" i="11"/>
  <c r="M21" i="11" s="1"/>
  <c r="J12" i="11"/>
  <c r="L14" i="11"/>
  <c r="N14" i="11" s="1"/>
  <c r="H14" i="32" s="1"/>
  <c r="K14" i="11"/>
  <c r="M14" i="11" s="1"/>
  <c r="J13" i="11"/>
  <c r="J6" i="11"/>
  <c r="L8" i="11"/>
  <c r="N8" i="11" s="1"/>
  <c r="J21" i="11"/>
  <c r="I14" i="11"/>
  <c r="J7" i="11"/>
  <c r="I8" i="11"/>
  <c r="I21" i="11"/>
  <c r="G14" i="11"/>
  <c r="G8" i="11"/>
  <c r="H21" i="11"/>
  <c r="G21" i="11" s="1"/>
  <c r="F20" i="8"/>
  <c r="H20" i="8" s="1"/>
  <c r="F19" i="8"/>
  <c r="F18" i="8"/>
  <c r="F13" i="8"/>
  <c r="H13" i="8" s="1"/>
  <c r="F12" i="8"/>
  <c r="H12" i="8" s="1"/>
  <c r="F11" i="8"/>
  <c r="F7" i="8"/>
  <c r="H7" i="8" s="1"/>
  <c r="F6" i="8"/>
  <c r="H6" i="8" s="1"/>
  <c r="F5" i="8"/>
  <c r="I6" i="8" s="1"/>
  <c r="F20" i="6"/>
  <c r="F19" i="6"/>
  <c r="F18" i="6"/>
  <c r="F13" i="6"/>
  <c r="F12" i="6"/>
  <c r="F11" i="6"/>
  <c r="F7" i="6"/>
  <c r="F6" i="6"/>
  <c r="F5" i="6"/>
  <c r="H5" i="6" s="1"/>
  <c r="F20" i="5"/>
  <c r="H20" i="5" s="1"/>
  <c r="F19" i="5"/>
  <c r="F18" i="5"/>
  <c r="H18" i="5" s="1"/>
  <c r="F13" i="5"/>
  <c r="H13" i="5" s="1"/>
  <c r="F12" i="5"/>
  <c r="H12" i="5" s="1"/>
  <c r="F11" i="5"/>
  <c r="F7" i="5"/>
  <c r="F6" i="5"/>
  <c r="H6" i="5" s="1"/>
  <c r="F5" i="5"/>
  <c r="F20" i="7"/>
  <c r="H20" i="7" s="1"/>
  <c r="F19" i="7"/>
  <c r="H19" i="7" s="1"/>
  <c r="F18" i="7"/>
  <c r="F13" i="7"/>
  <c r="F12" i="7"/>
  <c r="H12" i="7" s="1"/>
  <c r="F11" i="7"/>
  <c r="F7" i="7"/>
  <c r="H7" i="7" s="1"/>
  <c r="F6" i="7"/>
  <c r="F5" i="7"/>
  <c r="F8" i="6" l="1"/>
  <c r="I13" i="6"/>
  <c r="I7" i="6"/>
  <c r="J14" i="11"/>
  <c r="J8" i="11"/>
  <c r="H7" i="6"/>
  <c r="J7" i="6" s="1"/>
  <c r="F14" i="6"/>
  <c r="I19" i="6"/>
  <c r="F21" i="8"/>
  <c r="F14" i="8"/>
  <c r="F8" i="8"/>
  <c r="I19" i="8"/>
  <c r="I20" i="8"/>
  <c r="I12" i="8"/>
  <c r="I13" i="8"/>
  <c r="H11" i="8"/>
  <c r="J12" i="8" s="1"/>
  <c r="I7" i="8"/>
  <c r="H5" i="8"/>
  <c r="H8" i="8" s="1"/>
  <c r="G8" i="8" s="1"/>
  <c r="I8" i="8"/>
  <c r="H19" i="8"/>
  <c r="H18" i="8"/>
  <c r="F21" i="5"/>
  <c r="K21" i="5" s="1"/>
  <c r="M21" i="5" s="1"/>
  <c r="H19" i="5"/>
  <c r="I20" i="5"/>
  <c r="J20" i="5"/>
  <c r="F8" i="5"/>
  <c r="F8" i="7"/>
  <c r="F21" i="6"/>
  <c r="I20" i="6"/>
  <c r="H11" i="6"/>
  <c r="H13" i="6"/>
  <c r="I12" i="6"/>
  <c r="I14" i="6" s="1"/>
  <c r="H6" i="6"/>
  <c r="J6" i="6" s="1"/>
  <c r="I6" i="6"/>
  <c r="I8" i="6" s="1"/>
  <c r="H19" i="6"/>
  <c r="H12" i="6"/>
  <c r="J12" i="6" s="1"/>
  <c r="H18" i="6"/>
  <c r="H20" i="6"/>
  <c r="F21" i="7"/>
  <c r="F14" i="7"/>
  <c r="J19" i="5"/>
  <c r="I19" i="5"/>
  <c r="F14" i="5"/>
  <c r="I7" i="5"/>
  <c r="H5" i="5"/>
  <c r="J6" i="5" s="1"/>
  <c r="I6" i="5"/>
  <c r="H7" i="5"/>
  <c r="I13" i="5"/>
  <c r="H21" i="5"/>
  <c r="H11" i="5"/>
  <c r="H14" i="5" s="1"/>
  <c r="I12" i="5"/>
  <c r="I20" i="7"/>
  <c r="H18" i="7"/>
  <c r="H21" i="7" s="1"/>
  <c r="I19" i="7"/>
  <c r="I12" i="7"/>
  <c r="I13" i="7"/>
  <c r="I7" i="7"/>
  <c r="I6" i="7"/>
  <c r="H6" i="7"/>
  <c r="H11" i="7"/>
  <c r="H13" i="7"/>
  <c r="H5" i="7"/>
  <c r="L14" i="7" l="1"/>
  <c r="K14" i="7"/>
  <c r="I14" i="5"/>
  <c r="K21" i="7"/>
  <c r="L21" i="7"/>
  <c r="I21" i="6"/>
  <c r="H14" i="8"/>
  <c r="N8" i="8"/>
  <c r="H10" i="32" s="1"/>
  <c r="L8" i="8"/>
  <c r="K8" i="8"/>
  <c r="M8" i="8" s="1"/>
  <c r="L14" i="6"/>
  <c r="K14" i="6"/>
  <c r="M14" i="6" s="1"/>
  <c r="L21" i="6"/>
  <c r="K21" i="6"/>
  <c r="L14" i="8"/>
  <c r="N14" i="8" s="1"/>
  <c r="K14" i="8"/>
  <c r="J13" i="6"/>
  <c r="L8" i="7"/>
  <c r="K8" i="7"/>
  <c r="M8" i="7" s="1"/>
  <c r="L21" i="8"/>
  <c r="K21" i="8"/>
  <c r="M21" i="8" s="1"/>
  <c r="L8" i="6"/>
  <c r="N8" i="6" s="1"/>
  <c r="H9" i="32" s="1"/>
  <c r="K8" i="6"/>
  <c r="M8" i="6" s="1"/>
  <c r="H21" i="8"/>
  <c r="G21" i="8" s="1"/>
  <c r="N21" i="8"/>
  <c r="G10" i="32" s="1"/>
  <c r="H8" i="6"/>
  <c r="G8" i="6" s="1"/>
  <c r="J8" i="6"/>
  <c r="N14" i="6"/>
  <c r="G21" i="5"/>
  <c r="J21" i="5"/>
  <c r="K14" i="5"/>
  <c r="L14" i="5"/>
  <c r="N14" i="5" s="1"/>
  <c r="H8" i="32" s="1"/>
  <c r="N8" i="5"/>
  <c r="L8" i="5"/>
  <c r="K8" i="5"/>
  <c r="M8" i="5" s="1"/>
  <c r="M14" i="7"/>
  <c r="N14" i="7"/>
  <c r="N8" i="7"/>
  <c r="H7" i="32" s="1"/>
  <c r="I21" i="8"/>
  <c r="I14" i="8"/>
  <c r="M14" i="8"/>
  <c r="G14" i="8"/>
  <c r="J13" i="8"/>
  <c r="J14" i="8" s="1"/>
  <c r="J7" i="8"/>
  <c r="J6" i="8"/>
  <c r="J8" i="8" s="1"/>
  <c r="J19" i="8"/>
  <c r="J20" i="8"/>
  <c r="N21" i="7"/>
  <c r="G7" i="32" s="1"/>
  <c r="M21" i="7"/>
  <c r="J19" i="7"/>
  <c r="N21" i="6"/>
  <c r="G9" i="32" s="1"/>
  <c r="M21" i="6"/>
  <c r="L21" i="5"/>
  <c r="N21" i="5" s="1"/>
  <c r="G8" i="32" s="1"/>
  <c r="I21" i="5"/>
  <c r="M14" i="5"/>
  <c r="I8" i="5"/>
  <c r="I21" i="7"/>
  <c r="H14" i="7"/>
  <c r="G14" i="7" s="1"/>
  <c r="H8" i="7"/>
  <c r="G8" i="7" s="1"/>
  <c r="J20" i="6"/>
  <c r="H14" i="6"/>
  <c r="G14" i="6" s="1"/>
  <c r="H21" i="6"/>
  <c r="G21" i="6" s="1"/>
  <c r="J14" i="6"/>
  <c r="J19" i="6"/>
  <c r="J21" i="6" s="1"/>
  <c r="G21" i="7"/>
  <c r="I14" i="7"/>
  <c r="I8" i="7"/>
  <c r="G14" i="5"/>
  <c r="J7" i="5"/>
  <c r="J8" i="5" s="1"/>
  <c r="J12" i="5"/>
  <c r="H8" i="5"/>
  <c r="G8" i="5" s="1"/>
  <c r="J13" i="5"/>
  <c r="J20" i="7"/>
  <c r="J13" i="7"/>
  <c r="J7" i="7"/>
  <c r="J12" i="7"/>
  <c r="J6" i="7"/>
  <c r="J21" i="8" l="1"/>
  <c r="J21" i="7"/>
  <c r="J14" i="7"/>
  <c r="J14" i="5"/>
  <c r="J8" i="7"/>
  <c r="F20" i="4" l="1"/>
  <c r="F19" i="4"/>
  <c r="F18" i="4"/>
  <c r="F13" i="4"/>
  <c r="F12" i="4"/>
  <c r="F11" i="4"/>
  <c r="H11" i="4" s="1"/>
  <c r="F7" i="4"/>
  <c r="H7" i="4" s="1"/>
  <c r="F6" i="4"/>
  <c r="H6" i="4" s="1"/>
  <c r="F5" i="4"/>
  <c r="I13" i="4" l="1"/>
  <c r="I12" i="4"/>
  <c r="F21" i="4"/>
  <c r="I20" i="4"/>
  <c r="I19" i="4"/>
  <c r="H13" i="4"/>
  <c r="J13" i="4" s="1"/>
  <c r="F14" i="4"/>
  <c r="I7" i="4"/>
  <c r="F8" i="4"/>
  <c r="K8" i="4" s="1"/>
  <c r="H5" i="4"/>
  <c r="H8" i="4" s="1"/>
  <c r="I6" i="4"/>
  <c r="H19" i="4"/>
  <c r="H12" i="4"/>
  <c r="J12" i="4" s="1"/>
  <c r="H18" i="4"/>
  <c r="H20" i="4"/>
  <c r="J14" i="4" l="1"/>
  <c r="L21" i="4"/>
  <c r="K21" i="4"/>
  <c r="M21" i="4" s="1"/>
  <c r="N8" i="4"/>
  <c r="L8" i="4"/>
  <c r="I21" i="4"/>
  <c r="I14" i="4"/>
  <c r="L14" i="4"/>
  <c r="N14" i="4" s="1"/>
  <c r="K14" i="4"/>
  <c r="M14" i="4" s="1"/>
  <c r="N21" i="4"/>
  <c r="J19" i="4"/>
  <c r="J20" i="4"/>
  <c r="I8" i="4"/>
  <c r="G8" i="4"/>
  <c r="M8" i="4"/>
  <c r="J7" i="4"/>
  <c r="J6" i="4"/>
  <c r="H21" i="4"/>
  <c r="G21" i="4" s="1"/>
  <c r="H14" i="4"/>
  <c r="G14" i="4" s="1"/>
  <c r="F20" i="3"/>
  <c r="H20" i="3" s="1"/>
  <c r="F19" i="3"/>
  <c r="H19" i="3" s="1"/>
  <c r="F18" i="3"/>
  <c r="F20" i="2"/>
  <c r="H20" i="2" s="1"/>
  <c r="F19" i="2"/>
  <c r="H19" i="2" s="1"/>
  <c r="F18" i="2"/>
  <c r="H18" i="2" s="1"/>
  <c r="J21" i="4" l="1"/>
  <c r="J8" i="4"/>
  <c r="F21" i="3"/>
  <c r="I19" i="3"/>
  <c r="I20" i="3"/>
  <c r="H18" i="3"/>
  <c r="H21" i="3" s="1"/>
  <c r="H21" i="2"/>
  <c r="J19" i="2"/>
  <c r="J20" i="2"/>
  <c r="I19" i="2"/>
  <c r="I20" i="2"/>
  <c r="F21" i="2"/>
  <c r="F13" i="3"/>
  <c r="H13" i="3" s="1"/>
  <c r="F12" i="3"/>
  <c r="H12" i="3" s="1"/>
  <c r="F11" i="3"/>
  <c r="F7" i="3"/>
  <c r="F6" i="3"/>
  <c r="F5" i="3"/>
  <c r="H5" i="3" s="1"/>
  <c r="K21" i="2" l="1"/>
  <c r="L21" i="2"/>
  <c r="N21" i="2" s="1"/>
  <c r="G4" i="32" s="1"/>
  <c r="I6" i="3"/>
  <c r="I7" i="3"/>
  <c r="I21" i="3"/>
  <c r="K21" i="3"/>
  <c r="M21" i="3" s="1"/>
  <c r="L21" i="3"/>
  <c r="N21" i="3" s="1"/>
  <c r="G5" i="32" s="1"/>
  <c r="G21" i="3"/>
  <c r="M21" i="2"/>
  <c r="J20" i="3"/>
  <c r="J19" i="3"/>
  <c r="G21" i="2"/>
  <c r="I21" i="2"/>
  <c r="J21" i="2"/>
  <c r="F14" i="3"/>
  <c r="F8" i="3"/>
  <c r="K8" i="3" s="1"/>
  <c r="H6" i="3"/>
  <c r="J6" i="3" s="1"/>
  <c r="H7" i="3"/>
  <c r="J7" i="3" s="1"/>
  <c r="I12" i="3"/>
  <c r="I13" i="3"/>
  <c r="H11" i="3"/>
  <c r="H14" i="3" s="1"/>
  <c r="I8" i="3" l="1"/>
  <c r="L14" i="3"/>
  <c r="N14" i="3" s="1"/>
  <c r="K14" i="3"/>
  <c r="G14" i="3"/>
  <c r="L8" i="3"/>
  <c r="N8" i="3" s="1"/>
  <c r="H5" i="32" s="1"/>
  <c r="M8" i="3"/>
  <c r="M14" i="3"/>
  <c r="J21" i="3"/>
  <c r="J8" i="3"/>
  <c r="J12" i="3"/>
  <c r="I14" i="3"/>
  <c r="J13" i="3"/>
  <c r="H8" i="3"/>
  <c r="G8" i="3" s="1"/>
  <c r="J14" i="3" l="1"/>
  <c r="F13" i="2" l="1"/>
  <c r="F12" i="2"/>
  <c r="F11" i="2"/>
  <c r="H11" i="2" s="1"/>
  <c r="I12" i="2" l="1"/>
  <c r="I13" i="2"/>
  <c r="H12" i="2"/>
  <c r="J12" i="2" s="1"/>
  <c r="H13" i="2"/>
  <c r="J13" i="2" s="1"/>
  <c r="F14" i="2"/>
  <c r="F7" i="2"/>
  <c r="H7" i="2" s="1"/>
  <c r="F6" i="2"/>
  <c r="H6" i="2" s="1"/>
  <c r="F5" i="2"/>
  <c r="L14" i="2" l="1"/>
  <c r="K14" i="2"/>
  <c r="M14" i="2"/>
  <c r="N14" i="2"/>
  <c r="I14" i="2"/>
  <c r="J14" i="2"/>
  <c r="H14" i="2"/>
  <c r="G14" i="2" s="1"/>
  <c r="F8" i="2"/>
  <c r="I6" i="2"/>
  <c r="I7" i="2"/>
  <c r="H5" i="2"/>
  <c r="H8" i="2" s="1"/>
  <c r="K8" i="2" l="1"/>
  <c r="M8" i="2" s="1"/>
  <c r="L8" i="2"/>
  <c r="N8" i="2" s="1"/>
  <c r="H4" i="32" s="1"/>
  <c r="G8" i="2"/>
  <c r="I8" i="2"/>
  <c r="J7" i="2"/>
  <c r="J6" i="2"/>
  <c r="J8" i="2" l="1"/>
</calcChain>
</file>

<file path=xl/sharedStrings.xml><?xml version="1.0" encoding="utf-8"?>
<sst xmlns="http://schemas.openxmlformats.org/spreadsheetml/2006/main" count="2047" uniqueCount="239">
  <si>
    <t>№</t>
  </si>
  <si>
    <t>Mn %</t>
  </si>
  <si>
    <r>
      <t>H</t>
    </r>
    <r>
      <rPr>
        <b/>
        <i/>
        <vertAlign val="subscript"/>
        <sz val="9"/>
        <color theme="1"/>
        <rFont val="Calibri"/>
        <family val="2"/>
        <charset val="204"/>
        <scheme val="minor"/>
      </rPr>
      <t>2</t>
    </r>
    <r>
      <rPr>
        <b/>
        <i/>
        <sz val="9"/>
        <color theme="1"/>
        <rFont val="Calibri"/>
        <family val="2"/>
        <charset val="204"/>
        <scheme val="minor"/>
      </rPr>
      <t>O %</t>
    </r>
  </si>
  <si>
    <t>1:24</t>
  </si>
  <si>
    <t>1:24,5</t>
  </si>
  <si>
    <t>1:36,7</t>
  </si>
  <si>
    <t>1:28</t>
  </si>
  <si>
    <t>1:42</t>
  </si>
  <si>
    <t>1:20,7</t>
  </si>
  <si>
    <t>1:31</t>
  </si>
  <si>
    <t>ტ/დღე. Тн./Сутки.</t>
  </si>
  <si>
    <t>ტ/სთ.Т/Час.</t>
  </si>
  <si>
    <t>Т:Ж  წონით  по  весу.</t>
  </si>
  <si>
    <t>Т:Ж  მოცულ. По  объему.</t>
  </si>
  <si>
    <t>Не имеет  элеватора  конечных  хвостов  шлами 0-16 мм.</t>
  </si>
  <si>
    <t>Имеет  элеватор  конечных  хвостов  шлами  0-3 мм.</t>
  </si>
  <si>
    <t>1:23</t>
  </si>
  <si>
    <t>1:35</t>
  </si>
  <si>
    <t>Т:Ж  წონით.  По  весу.</t>
  </si>
  <si>
    <t>Имеет  элеватор  конечных  хвостов.  Шлами  0-3 мм.</t>
  </si>
  <si>
    <t>1:21</t>
  </si>
  <si>
    <t>1:25</t>
  </si>
  <si>
    <t>1:37</t>
  </si>
  <si>
    <t>1:36,5</t>
  </si>
  <si>
    <r>
      <t>მ</t>
    </r>
    <r>
      <rPr>
        <b/>
        <i/>
        <vertAlign val="superscript"/>
        <sz val="8"/>
        <color rgb="FFFF0000"/>
        <rFont val="Calibri"/>
        <family val="2"/>
        <charset val="204"/>
        <scheme val="minor"/>
      </rPr>
      <t>3</t>
    </r>
    <r>
      <rPr>
        <b/>
        <i/>
        <sz val="8"/>
        <color rgb="FFFF0000"/>
        <rFont val="Calibri"/>
        <family val="2"/>
        <charset val="204"/>
        <scheme val="minor"/>
      </rPr>
      <t>/დღე.  М</t>
    </r>
    <r>
      <rPr>
        <b/>
        <i/>
        <vertAlign val="superscript"/>
        <sz val="8"/>
        <color rgb="FFFF0000"/>
        <rFont val="Calibri"/>
        <family val="2"/>
        <charset val="204"/>
        <scheme val="minor"/>
      </rPr>
      <t>3</t>
    </r>
    <r>
      <rPr>
        <b/>
        <i/>
        <sz val="8"/>
        <color rgb="FFFF0000"/>
        <rFont val="Calibri"/>
        <family val="2"/>
        <charset val="204"/>
        <scheme val="minor"/>
      </rPr>
      <t>/Сутки</t>
    </r>
  </si>
  <si>
    <r>
      <t>მ</t>
    </r>
    <r>
      <rPr>
        <b/>
        <i/>
        <vertAlign val="superscript"/>
        <sz val="8"/>
        <color rgb="FFFF0000"/>
        <rFont val="Calibri"/>
        <family val="2"/>
        <charset val="204"/>
        <scheme val="minor"/>
      </rPr>
      <t>3</t>
    </r>
    <r>
      <rPr>
        <b/>
        <i/>
        <sz val="8"/>
        <color rgb="FFFF0000"/>
        <rFont val="Calibri"/>
        <family val="2"/>
        <charset val="204"/>
        <scheme val="minor"/>
      </rPr>
      <t>/სთ.М</t>
    </r>
    <r>
      <rPr>
        <b/>
        <i/>
        <vertAlign val="superscript"/>
        <sz val="8"/>
        <color rgb="FFFF0000"/>
        <rFont val="Calibri"/>
        <family val="2"/>
        <charset val="204"/>
        <scheme val="minor"/>
      </rPr>
      <t>3</t>
    </r>
    <r>
      <rPr>
        <b/>
        <i/>
        <sz val="8"/>
        <color rgb="FFFF0000"/>
        <rFont val="Calibri"/>
        <family val="2"/>
        <charset val="204"/>
        <scheme val="minor"/>
      </rPr>
      <t>/Час.</t>
    </r>
  </si>
  <si>
    <t>შლამი.  Шлами.</t>
  </si>
  <si>
    <t>1:60</t>
  </si>
  <si>
    <t>1:90</t>
  </si>
  <si>
    <t>1:67</t>
  </si>
  <si>
    <t>1:26</t>
  </si>
  <si>
    <t>1:39</t>
  </si>
  <si>
    <t>1:27</t>
  </si>
  <si>
    <t>1:40,5</t>
  </si>
  <si>
    <t>1:72</t>
  </si>
  <si>
    <t>1:107</t>
  </si>
  <si>
    <t>1:57</t>
  </si>
  <si>
    <t>1:85,5</t>
  </si>
  <si>
    <r>
      <rPr>
        <b/>
        <i/>
        <sz val="10"/>
        <rFont val="Calibri"/>
        <family val="2"/>
        <charset val="204"/>
        <scheme val="minor"/>
      </rPr>
      <t>ტუმბო  . Насос</t>
    </r>
    <r>
      <rPr>
        <b/>
        <i/>
        <sz val="10"/>
        <color rgb="FFFF0000"/>
        <rFont val="Calibri"/>
        <family val="2"/>
        <charset val="204"/>
        <scheme val="minor"/>
      </rPr>
      <t xml:space="preserve">  ФГ-680, К160/30, Д200/36,</t>
    </r>
  </si>
  <si>
    <r>
      <t>Насос ФГ-680 не  выпускается  и  производительность  не  удалос  расчитать,  во  время  сравнения  со  старим  модельним  рядом, насос  такими  цифрами не удалос виявыть.  Эсли ориентировочную  производительность  согласно  цифрам  будем  брать 680 М</t>
    </r>
    <r>
      <rPr>
        <b/>
        <i/>
        <vertAlign val="superscript"/>
        <sz val="10"/>
        <color rgb="FFFF0000"/>
        <rFont val="Calibri"/>
        <family val="2"/>
        <charset val="204"/>
        <scheme val="minor"/>
      </rPr>
      <t>3</t>
    </r>
    <r>
      <rPr>
        <b/>
        <i/>
        <sz val="10"/>
        <color rgb="FFFF0000"/>
        <rFont val="Calibri"/>
        <family val="2"/>
        <charset val="204"/>
        <scheme val="minor"/>
      </rPr>
      <t>/Час.  то  оюпроизводительность  обшая  будет (680+160+200)*0,9=936 М</t>
    </r>
    <r>
      <rPr>
        <b/>
        <i/>
        <vertAlign val="superscript"/>
        <sz val="10"/>
        <color rgb="FFFF0000"/>
        <rFont val="Calibri"/>
        <family val="2"/>
        <charset val="204"/>
        <scheme val="minor"/>
      </rPr>
      <t>3</t>
    </r>
    <r>
      <rPr>
        <b/>
        <i/>
        <sz val="10"/>
        <color rgb="FFFF0000"/>
        <rFont val="Calibri"/>
        <family val="2"/>
        <charset val="204"/>
        <scheme val="minor"/>
      </rPr>
      <t>/Час,  однако  эту  цифру  нужно  уточнять.</t>
    </r>
  </si>
  <si>
    <t>1:54</t>
  </si>
  <si>
    <t>1:18,7</t>
  </si>
  <si>
    <t>1:61,2</t>
  </si>
  <si>
    <t>1:92</t>
  </si>
  <si>
    <t>1:22</t>
  </si>
  <si>
    <t>1:34,5</t>
  </si>
  <si>
    <t>1:27,7</t>
  </si>
  <si>
    <t>1:41,5</t>
  </si>
  <si>
    <t>1:46,5</t>
  </si>
  <si>
    <t>1:33,2</t>
  </si>
  <si>
    <t>1:49,8</t>
  </si>
  <si>
    <t>1:33</t>
  </si>
  <si>
    <t>,</t>
  </si>
  <si>
    <t>1:40</t>
  </si>
  <si>
    <t>1:49</t>
  </si>
  <si>
    <t>1:25,6</t>
  </si>
  <si>
    <t>1:38,4</t>
  </si>
  <si>
    <t>1:45</t>
  </si>
  <si>
    <t>1:19,4</t>
  </si>
  <si>
    <t>1:29</t>
  </si>
  <si>
    <t>1:21,6</t>
  </si>
  <si>
    <t>1:37,5</t>
  </si>
  <si>
    <t>1:22,2</t>
  </si>
  <si>
    <t xml:space="preserve">  </t>
  </si>
  <si>
    <r>
      <t>Для  шамов фабрика имеет  три  грунтових  емкости  в  сумме  примерно  1200 м</t>
    </r>
    <r>
      <rPr>
        <b/>
        <i/>
        <vertAlign val="superscript"/>
        <sz val="10"/>
        <color rgb="FFFF0000"/>
        <rFont val="Calibri"/>
        <family val="2"/>
        <charset val="204"/>
        <scheme val="minor"/>
      </rPr>
      <t>2</t>
    </r>
    <r>
      <rPr>
        <b/>
        <i/>
        <sz val="10"/>
        <color rgb="FFFF0000"/>
        <rFont val="Calibri"/>
        <family val="2"/>
        <charset val="204"/>
        <scheme val="minor"/>
      </rPr>
      <t>,   по  информации  представителя  фабрики  средная  глубина  10 метров.  Эмкости  работают поочередно  по  мере  напольнения  и  производят  возврат  осветленной  води  в  технологию</t>
    </r>
  </si>
  <si>
    <r>
      <t>შლამებისათვის აქვს  სამი  რეზერვუარი, ჯამში დაახლოებით  1200 მ</t>
    </r>
    <r>
      <rPr>
        <b/>
        <i/>
        <vertAlign val="superscript"/>
        <sz val="10"/>
        <color rgb="FFFF0000"/>
        <rFont val="Calibri"/>
        <family val="2"/>
        <charset val="204"/>
        <scheme val="minor"/>
      </rPr>
      <t>2</t>
    </r>
    <r>
      <rPr>
        <b/>
        <i/>
        <sz val="10"/>
        <color rgb="FFFF0000"/>
        <rFont val="Calibri"/>
        <family val="2"/>
        <charset val="204"/>
        <scheme val="minor"/>
      </rPr>
      <t xml:space="preserve">  ფრთობით,  ფაბრიკის  მესვეურების  ინფორმაციით  მათი  სიღრმე  საშუალოდ  10 მეტრია.  რეზერვუარებს   ამუშავებენ  მორიგეობით   გავსების   შესაბამისად  და  ახდენენ  გადანედენი   წყლის  ტექნოლოგიაში   დაბრუნებას.</t>
    </r>
  </si>
  <si>
    <t>1:13</t>
  </si>
  <si>
    <t>1:19,5</t>
  </si>
  <si>
    <t>1:14</t>
  </si>
  <si>
    <t>1:17</t>
  </si>
  <si>
    <t>1:18,2</t>
  </si>
  <si>
    <t>1:27,3</t>
  </si>
  <si>
    <t>1:20,2</t>
  </si>
  <si>
    <t>1:30,3</t>
  </si>
  <si>
    <t>1:14,8</t>
  </si>
  <si>
    <t>1:16,7</t>
  </si>
  <si>
    <t>1:24,3</t>
  </si>
  <si>
    <t>1:17,8</t>
  </si>
  <si>
    <t>1:26,7</t>
  </si>
  <si>
    <t xml:space="preserve"> </t>
  </si>
  <si>
    <t>სავარაუდო წარმადობა</t>
  </si>
  <si>
    <t>Ориентировочная  произв.</t>
  </si>
  <si>
    <r>
      <t>180  მ</t>
    </r>
    <r>
      <rPr>
        <b/>
        <i/>
        <vertAlign val="superscript"/>
        <sz val="10"/>
        <color rgb="FFFF0000"/>
        <rFont val="Calibri"/>
        <family val="2"/>
        <charset val="204"/>
        <scheme val="minor"/>
      </rPr>
      <t>3</t>
    </r>
    <r>
      <rPr>
        <b/>
        <i/>
        <sz val="10"/>
        <color rgb="FFFF0000"/>
        <rFont val="Calibri"/>
        <family val="2"/>
        <charset val="204"/>
        <scheme val="minor"/>
      </rPr>
      <t>/სთ</t>
    </r>
  </si>
  <si>
    <r>
      <t>180  М</t>
    </r>
    <r>
      <rPr>
        <b/>
        <i/>
        <vertAlign val="superscript"/>
        <sz val="10"/>
        <color rgb="FFFF0000"/>
        <rFont val="Calibri"/>
        <family val="2"/>
        <charset val="204"/>
        <scheme val="minor"/>
      </rPr>
      <t>3</t>
    </r>
    <r>
      <rPr>
        <b/>
        <i/>
        <sz val="10"/>
        <color rgb="FFFF0000"/>
        <rFont val="Calibri"/>
        <family val="2"/>
        <charset val="204"/>
        <scheme val="minor"/>
      </rPr>
      <t xml:space="preserve"> /час</t>
    </r>
  </si>
  <si>
    <t>1:23,4</t>
  </si>
  <si>
    <t>1:32,4</t>
  </si>
  <si>
    <t>1:57,6</t>
  </si>
  <si>
    <r>
      <t>85  მ</t>
    </r>
    <r>
      <rPr>
        <b/>
        <i/>
        <vertAlign val="superscript"/>
        <sz val="10"/>
        <color rgb="FFFF0000"/>
        <rFont val="Calibri"/>
        <family val="2"/>
        <charset val="204"/>
        <scheme val="minor"/>
      </rPr>
      <t>3</t>
    </r>
    <r>
      <rPr>
        <b/>
        <i/>
        <sz val="10"/>
        <color rgb="FFFF0000"/>
        <rFont val="Calibri"/>
        <family val="2"/>
        <charset val="204"/>
        <scheme val="minor"/>
      </rPr>
      <t>/სთ</t>
    </r>
  </si>
  <si>
    <r>
      <t>85  М</t>
    </r>
    <r>
      <rPr>
        <b/>
        <i/>
        <vertAlign val="superscript"/>
        <sz val="10"/>
        <color rgb="FFFF0000"/>
        <rFont val="Calibri"/>
        <family val="2"/>
        <charset val="204"/>
        <scheme val="minor"/>
      </rPr>
      <t>3</t>
    </r>
    <r>
      <rPr>
        <b/>
        <i/>
        <sz val="10"/>
        <color rgb="FFFF0000"/>
        <rFont val="Calibri"/>
        <family val="2"/>
        <charset val="204"/>
        <scheme val="minor"/>
      </rPr>
      <t xml:space="preserve"> /час</t>
    </r>
  </si>
  <si>
    <t>1:22,1</t>
  </si>
  <si>
    <t>1:18,4</t>
  </si>
  <si>
    <t>1:27,6</t>
  </si>
  <si>
    <t>1:30,2</t>
  </si>
  <si>
    <t>1:45,3</t>
  </si>
  <si>
    <t>1:36,4</t>
  </si>
  <si>
    <t>1:15,6</t>
  </si>
  <si>
    <t>1:16,2</t>
  </si>
  <si>
    <t>1:24,2</t>
  </si>
  <si>
    <t>Не  функционирует</t>
  </si>
  <si>
    <t xml:space="preserve">არ  მუშაობს </t>
  </si>
  <si>
    <r>
      <t>წარმადობა  ბირკის  მიხედვით  არის  125 მ</t>
    </r>
    <r>
      <rPr>
        <b/>
        <i/>
        <vertAlign val="superscript"/>
        <sz val="10"/>
        <color rgb="FFFF0000"/>
        <rFont val="Calibri"/>
        <family val="2"/>
        <charset val="204"/>
        <scheme val="minor"/>
      </rPr>
      <t>3</t>
    </r>
    <r>
      <rPr>
        <b/>
        <i/>
        <sz val="10"/>
        <color rgb="FFFF0000"/>
        <rFont val="Calibri"/>
        <family val="2"/>
        <charset val="204"/>
        <scheme val="minor"/>
      </rPr>
      <t>/სთ,  თუმცა  ტუმბო  დგას  შესაწოვი  წყლის  ჰორიზონტზე 2 მეტრით    დაბლა  ანუ  შეწოვაზე  არ  იხარჯება  ენერგია  შესაბამისად  125 მ</t>
    </r>
    <r>
      <rPr>
        <b/>
        <i/>
        <vertAlign val="superscript"/>
        <sz val="10"/>
        <color rgb="FFFF0000"/>
        <rFont val="Calibri"/>
        <family val="2"/>
        <charset val="204"/>
        <scheme val="minor"/>
      </rPr>
      <t>3</t>
    </r>
    <r>
      <rPr>
        <b/>
        <i/>
        <sz val="10"/>
        <color rgb="FFFF0000"/>
        <rFont val="Calibri"/>
        <family val="2"/>
        <charset val="204"/>
        <scheme val="minor"/>
      </rPr>
      <t>/სთ-ზე  გაცილებით  მეტი  უნდა  იყოს  რეალური  წარმადობა.                                                                                   Производительность  по  бирке  125 м</t>
    </r>
    <r>
      <rPr>
        <b/>
        <i/>
        <vertAlign val="superscript"/>
        <sz val="10"/>
        <color rgb="FFFF0000"/>
        <rFont val="Calibri"/>
        <family val="2"/>
        <charset val="204"/>
        <scheme val="minor"/>
      </rPr>
      <t>3</t>
    </r>
    <r>
      <rPr>
        <b/>
        <i/>
        <sz val="10"/>
        <color rgb="FFFF0000"/>
        <rFont val="Calibri"/>
        <family val="2"/>
        <charset val="204"/>
        <scheme val="minor"/>
      </rPr>
      <t>/час,  однако  насос  стоит ниже  всасиваемой  води  на  2 метра,  то эсть  не  расходует  энергию  на  всасивание,  соответственно  реальная  производительность  будет  гораздо  болше.</t>
    </r>
  </si>
  <si>
    <r>
      <t>100  მ</t>
    </r>
    <r>
      <rPr>
        <b/>
        <i/>
        <vertAlign val="superscript"/>
        <sz val="10"/>
        <color rgb="FFFF0000"/>
        <rFont val="Calibri"/>
        <family val="2"/>
        <charset val="204"/>
        <scheme val="minor"/>
      </rPr>
      <t>3</t>
    </r>
    <r>
      <rPr>
        <b/>
        <i/>
        <sz val="10"/>
        <color rgb="FFFF0000"/>
        <rFont val="Calibri"/>
        <family val="2"/>
        <charset val="204"/>
        <scheme val="minor"/>
      </rPr>
      <t>/სთ</t>
    </r>
  </si>
  <si>
    <r>
      <t>100  М</t>
    </r>
    <r>
      <rPr>
        <b/>
        <i/>
        <vertAlign val="superscript"/>
        <sz val="10"/>
        <color rgb="FFFF0000"/>
        <rFont val="Calibri"/>
        <family val="2"/>
        <charset val="204"/>
        <scheme val="minor"/>
      </rPr>
      <t>3</t>
    </r>
    <r>
      <rPr>
        <b/>
        <i/>
        <sz val="10"/>
        <color rgb="FFFF0000"/>
        <rFont val="Calibri"/>
        <family val="2"/>
        <charset val="204"/>
        <scheme val="minor"/>
      </rPr>
      <t xml:space="preserve"> /час</t>
    </r>
  </si>
  <si>
    <t>1:34</t>
  </si>
  <si>
    <t>1:36</t>
  </si>
  <si>
    <t>1:61</t>
  </si>
  <si>
    <t>1;39</t>
  </si>
  <si>
    <t>1:32,8</t>
  </si>
  <si>
    <t>1:47,4</t>
  </si>
  <si>
    <t>1:31,6</t>
  </si>
  <si>
    <t>1:54,5</t>
  </si>
  <si>
    <t>1:81,7</t>
  </si>
  <si>
    <r>
      <t>ტუმბო    ФГ-680-ის  წარმადობა ვერ იქნა  ზუსტად  დადგენილი  ვინაიდან  წლებია  აღარ  იწარმოება  და  ძველ  სამოდელო   ბაზასთან  შედრებისას  ასეთი  ციფრებით  ტუმბო  ვერ  იქნა  მოძიებული, თუ  სავარაუდო  წარმადობას  ავიღებთ 680 მ</t>
    </r>
    <r>
      <rPr>
        <b/>
        <i/>
        <vertAlign val="superscript"/>
        <sz val="10"/>
        <color rgb="FFFF0000"/>
        <rFont val="Calibri"/>
        <family val="2"/>
        <charset val="204"/>
        <scheme val="minor"/>
      </rPr>
      <t>3</t>
    </r>
    <r>
      <rPr>
        <b/>
        <i/>
        <sz val="10"/>
        <color rgb="FFFF0000"/>
        <rFont val="Calibri"/>
        <family val="2"/>
        <charset val="204"/>
        <scheme val="minor"/>
      </rPr>
      <t>/სთ მაშინ  სამივე  ტუმბოს  წარმადობა  იქნება  (680+160+200)*0,9=936 მ</t>
    </r>
    <r>
      <rPr>
        <b/>
        <i/>
        <vertAlign val="superscript"/>
        <sz val="10"/>
        <color rgb="FFFF0000"/>
        <rFont val="Calibri"/>
        <family val="2"/>
        <charset val="204"/>
        <scheme val="minor"/>
      </rPr>
      <t>3</t>
    </r>
    <r>
      <rPr>
        <b/>
        <i/>
        <sz val="10"/>
        <color rgb="FFFF0000"/>
        <rFont val="Calibri"/>
        <family val="2"/>
        <charset val="204"/>
        <scheme val="minor"/>
      </rPr>
      <t>/სთ. თუმცა  ეს  ციფრი  მოითხოვს  დაზუსტებას.</t>
    </r>
  </si>
  <si>
    <t>1:33,4</t>
  </si>
  <si>
    <t>1:50</t>
  </si>
  <si>
    <t>1:37,6</t>
  </si>
  <si>
    <t>1:56</t>
  </si>
  <si>
    <t>1:42,6</t>
  </si>
  <si>
    <t>1:64</t>
  </si>
  <si>
    <t>1:17,7</t>
  </si>
  <si>
    <t>1:26,5</t>
  </si>
  <si>
    <t>1:31,4</t>
  </si>
  <si>
    <t>1:47,2</t>
  </si>
  <si>
    <t>Ориентировочная  произв</t>
  </si>
  <si>
    <t>მაქსიმუმი Максимум</t>
  </si>
  <si>
    <t>მინიმუმი Минимум</t>
  </si>
  <si>
    <t>157,7</t>
  </si>
  <si>
    <t>159,5</t>
  </si>
  <si>
    <t>ჯრუჭულა                                    Джручула</t>
  </si>
  <si>
    <t xml:space="preserve">ზედა   რგანის ღელე                       Ушеле  Зеда  Ргани. </t>
  </si>
  <si>
    <t>ფაბრიკის  დასახელება. Наименование фабрики. Plant name.</t>
  </si>
  <si>
    <t>განლაგება                              Расположеные. Location</t>
  </si>
  <si>
    <t>მადნის  მიწოდება ტ/სთ. Производительность по завалке, т/час. Ore delivery t/h</t>
  </si>
  <si>
    <t>მინიმუმი Минимум. Minimum.</t>
  </si>
  <si>
    <t>მაქსიმუმი Максимум. Maximum</t>
  </si>
  <si>
    <r>
      <t>ტექნიკური  წყლის ტუმბოს  წარმადობა მ</t>
    </r>
    <r>
      <rPr>
        <vertAlign val="superscript"/>
        <sz val="9"/>
        <color theme="1"/>
        <rFont val="Calibri"/>
        <family val="2"/>
        <charset val="204"/>
        <scheme val="minor"/>
      </rPr>
      <t>3</t>
    </r>
    <r>
      <rPr>
        <sz val="9"/>
        <color theme="1"/>
        <rFont val="Calibri"/>
        <family val="2"/>
        <charset val="204"/>
        <scheme val="minor"/>
      </rPr>
      <t>/სთ Производ. насоса тех. воды, м</t>
    </r>
    <r>
      <rPr>
        <vertAlign val="superscript"/>
        <sz val="9"/>
        <color theme="1"/>
        <rFont val="Calibri"/>
        <family val="2"/>
        <charset val="204"/>
        <scheme val="minor"/>
      </rPr>
      <t>3</t>
    </r>
    <r>
      <rPr>
        <sz val="9"/>
        <color theme="1"/>
        <rFont val="Calibri"/>
        <family val="2"/>
        <charset val="204"/>
        <scheme val="minor"/>
      </rPr>
      <t>/час. Technical water pump capacity m3/h</t>
    </r>
  </si>
  <si>
    <r>
      <t>შლამები  (მშრალი +წყალი  მ</t>
    </r>
    <r>
      <rPr>
        <vertAlign val="superscript"/>
        <sz val="9"/>
        <color theme="1"/>
        <rFont val="Calibri"/>
        <family val="2"/>
        <charset val="204"/>
        <scheme val="minor"/>
      </rPr>
      <t>3</t>
    </r>
    <r>
      <rPr>
        <sz val="9"/>
        <color theme="1"/>
        <rFont val="Calibri"/>
        <family val="2"/>
        <charset val="204"/>
        <scheme val="minor"/>
      </rPr>
      <t xml:space="preserve">/სთ)   Выход шламов (сухой шлам + вода), м3/час.  Sludge (dry+water m3/h) </t>
    </r>
  </si>
  <si>
    <t>მინიმუმი Минимум Minimum</t>
  </si>
  <si>
    <t>მაქსიმუმი Максимум Maximum</t>
  </si>
  <si>
    <r>
      <t>შეფარდედება  მ:თ მ</t>
    </r>
    <r>
      <rPr>
        <vertAlign val="superscript"/>
        <sz val="9"/>
        <color theme="1"/>
        <rFont val="Calibri"/>
        <family val="2"/>
        <charset val="204"/>
        <scheme val="minor"/>
      </rPr>
      <t xml:space="preserve">3  </t>
    </r>
    <r>
      <rPr>
        <sz val="9"/>
        <color theme="1"/>
        <rFont val="Calibri"/>
        <family val="2"/>
        <charset val="204"/>
        <scheme val="minor"/>
      </rPr>
      <t>Соотношение Т:Ж, м</t>
    </r>
    <r>
      <rPr>
        <vertAlign val="superscript"/>
        <sz val="9"/>
        <color theme="1"/>
        <rFont val="Calibri"/>
        <family val="2"/>
        <charset val="204"/>
        <scheme val="minor"/>
      </rPr>
      <t>3   Correlation m3</t>
    </r>
  </si>
  <si>
    <t xml:space="preserve"> მუშაობის  საშუალო დრო დღე/საათი. Среднее время работы, час/сут . Average working time dd/hh</t>
  </si>
  <si>
    <t xml:space="preserve">ჯეო მაინინგი  Эжео   маининг Geo Mining </t>
  </si>
  <si>
    <t>მნ რიჩი  Мн  рич  MN Rich</t>
  </si>
  <si>
    <t xml:space="preserve">მეტალ ჯგუფი  Металь  груп  Metal Group </t>
  </si>
  <si>
    <t xml:space="preserve">მანგა   Манга Manga </t>
  </si>
  <si>
    <t>ლეგო  Лего  Lego</t>
  </si>
  <si>
    <t>ანდრო  Андро  Andro</t>
  </si>
  <si>
    <t>ტექნო 2016   Техно 2016   Techno 2016</t>
  </si>
  <si>
    <t xml:space="preserve">ტაბაღუა  Табагуа  Tabagua </t>
  </si>
  <si>
    <t xml:space="preserve">პარტნიორი   Партнер  Partner </t>
  </si>
  <si>
    <t>მგტ  МГТ    MGT</t>
  </si>
  <si>
    <t>ბუკაპი  Букапи   Bukapi</t>
  </si>
  <si>
    <t>ადვ ტოგო   АДВ  Того   ADV Togo</t>
  </si>
  <si>
    <t>როიალ მნ  Роиал  мн.   Royal MN</t>
  </si>
  <si>
    <t>ლეჟუბანი Лежубани  Lezhubani</t>
  </si>
  <si>
    <t>მნ პლიუსი  Мн  плюс   MN Plus</t>
  </si>
  <si>
    <t>აგო 2019   Аго 2019   Ago 2019</t>
  </si>
  <si>
    <t>არაგვი  Арагви   Aragvi</t>
  </si>
  <si>
    <t xml:space="preserve">ბარჯა  Барджа   Bardzha </t>
  </si>
  <si>
    <t xml:space="preserve">ტრანსპორტი  Транспорти Transport </t>
  </si>
  <si>
    <t xml:space="preserve">მ ჯგუფი  М  груп.   M Group </t>
  </si>
  <si>
    <t>კოლხეთი  Колхети.  Kolkheti</t>
  </si>
  <si>
    <t xml:space="preserve">ბაჩანა  Бачана  Bachana </t>
  </si>
  <si>
    <t>მალკო  Малко   Malko</t>
  </si>
  <si>
    <t>შმაგურა  Шмагура   Shmagura</t>
  </si>
  <si>
    <t>ბლეკ  გოლდენი  Блек  голден  Black Golden</t>
  </si>
  <si>
    <t>ჰარიმანი  Хариман  Khariman</t>
  </si>
  <si>
    <t>ლალი   Лали  Lali</t>
  </si>
  <si>
    <t xml:space="preserve">გიო  და  კომპანია  Гио  и компания   Gio &amp; Company </t>
  </si>
  <si>
    <t>ნოფი                                                     НОФ    Nopi</t>
  </si>
  <si>
    <t>ტექ. წყალსადენი  Тех. Водоканал  Tech. Water Services Company</t>
  </si>
  <si>
    <t>ცოფი                                                       ЦОФ   Tsopi</t>
  </si>
  <si>
    <t>ნიკრისის  ღელე Никрисское  ушеле  Nekrisi Valley</t>
  </si>
  <si>
    <t>ფაბრიკა  № 29                              Фабрика  № 29                                                  Fabrika #29</t>
  </si>
  <si>
    <t>თაბაგრების  ღელე            Табагребское  ушеле.       Tabagrebi Valley</t>
  </si>
  <si>
    <t>ცდფ   ЦДФ   TsDF</t>
  </si>
  <si>
    <t>რგანი   Ргани   Rgani</t>
  </si>
  <si>
    <t>შენიშვნა.  Примечания. Notes</t>
  </si>
  <si>
    <r>
      <t>ტუმბოს  წარმადობა  მერყეობს  ძალიან  დიდ  დიაპაზონში 60-360 მ3/სთ.  გათვლა  ვერ გაკეთდა. Производительность  насоса  имеет  болшой  диапазон 60-360 М</t>
    </r>
    <r>
      <rPr>
        <vertAlign val="superscript"/>
        <sz val="9"/>
        <color theme="1"/>
        <rFont val="Calibri"/>
        <family val="2"/>
        <charset val="204"/>
        <scheme val="minor"/>
      </rPr>
      <t>3</t>
    </r>
    <r>
      <rPr>
        <sz val="9"/>
        <color theme="1"/>
        <rFont val="Calibri"/>
        <family val="2"/>
        <charset val="204"/>
        <scheme val="minor"/>
      </rPr>
      <t xml:space="preserve">/час.     Pump capacity ranges from 60-360 m3/h in a very large range. The calculation could not be done. </t>
    </r>
  </si>
  <si>
    <t>არ მუშაობს  ხანგრძლივი  დროით  ტუმბო  უცნობია.  Не  работает  на  длительное  время  насос  не  уточнен. It does not work for a long time, the pump is unknown.</t>
  </si>
  <si>
    <t>სამი  ტუმბოდან ყველაზე  დიდის  წარმადობა  ვერ  იქნა  დადგენილი.  Из  трех насосов  производительность  самого  болшого  не  установлена. The largest output of the three pumps could not be determined.</t>
  </si>
  <si>
    <t>მეორე  ტუმბო  NE1,2X25  გამოიყენება   თიხიანი  მადნის  შემთხვევაში მისი   წარმადობის  შესახებ  მონაცემები  უცნობია.  Производительность второго насоса  не  удалос  выяснить  ноо его  исползуют  толко  при  глинистой  руде. The second pump NE1,2X25 is used in the case of clay ore, its performance data are unknown.</t>
  </si>
  <si>
    <t xml:space="preserve">ტუმბოს  წარმადობა  აღებულია  სავარაუდო. Производительность насоса  ориентировочная. Pump efficincy is approximate. </t>
  </si>
  <si>
    <t xml:space="preserve">ტუმბოს   წარმადობა  აღებულია  სავარაუდო.  Производительность насоса  ориентировочная.  Pump efficincy is approximate. </t>
  </si>
  <si>
    <t xml:space="preserve">ტუმბოს  მოდელი  უცნობია  წარმადობა  ვერ  დადგინდა.  Незнакомая  модель насоса производительность не  установлена.  Pump model not defined. Performance not defined. </t>
  </si>
  <si>
    <t>ტუმბოზე  დატანილი  წარმადობა 125 მ3/სთ  თეორიულად  არ  ყოფნის  ტექნოლოგიას,  თუმცა  წყალი მასში შედის  წნევით  რადგანაც  იგი  წყლის  ჰორიზონტზე  2  მეტრით  დაბლა  იმყოფება  ამიტომ  წყლის  მიწოდება  გაცილებით  მეტი   იქნება,  თუმცა  რამდენად  უცნობია. Отмеченная  на  насосе  производительность  слишком  маленкая  и  теоретически  не  хватает  для  технологий,  однако  в  насосе  вода  подается  под  давлением  посколку  горизонт  всасисаемой  води  на  2  метнра  више  насоса,  по  этому  подача  воды   будет  гораздо   болше  но  на  сколько  не  известно. The capacity of the pump - 125 m3 / h - is not theoretically in line with the technology, although water enters it at pressure because it is 2 meters below the water horizon so the water supply will be much higher, though how much is unknown.</t>
  </si>
  <si>
    <t>მაღალი  ხარისხის  მადანი.   Руда  високого  качества. High Qauliaty Ore</t>
  </si>
  <si>
    <t xml:space="preserve">პროდუქტი       Продукт.   Product </t>
  </si>
  <si>
    <t xml:space="preserve">მადანი              Руда.       Ore </t>
  </si>
  <si>
    <t>კონცენტრ.   Концентрат.    Concentr.</t>
  </si>
  <si>
    <t>შლამი                Шлам.       Sludge</t>
  </si>
  <si>
    <t>წონა სვ. ტ.                  Вес мокр. Тн.   Wet weight, t</t>
  </si>
  <si>
    <t>წონა მშრ.  ტ.     Вес сух. Тн.   Dry weight, t</t>
  </si>
  <si>
    <t>მეტალი ტ.   Металь тн.  Metal, t</t>
  </si>
  <si>
    <t>გამოსავალი მშრ.%             Выход  сух. %  Output, dry %</t>
  </si>
  <si>
    <t>ამოკრეფა %  Извлеченые %. Recovered %</t>
  </si>
  <si>
    <t>დაბალი  ხარისხის  მადანი. Руда  низкого  качества.Low Quality Ore</t>
  </si>
  <si>
    <t>თიხიანი მადანი.  Глинистая  руда. Argillaceous ore</t>
  </si>
  <si>
    <r>
      <t xml:space="preserve">  ტუმბო </t>
    </r>
    <r>
      <rPr>
        <b/>
        <i/>
        <sz val="10"/>
        <color rgb="FFFF0000"/>
        <rFont val="Calibri"/>
        <family val="2"/>
        <charset val="204"/>
        <scheme val="minor"/>
      </rPr>
      <t xml:space="preserve"> </t>
    </r>
    <r>
      <rPr>
        <b/>
        <i/>
        <sz val="10"/>
        <rFont val="Calibri"/>
        <family val="2"/>
        <charset val="204"/>
        <scheme val="minor"/>
      </rPr>
      <t xml:space="preserve">Насос  Pump  </t>
    </r>
    <r>
      <rPr>
        <b/>
        <i/>
        <sz val="10"/>
        <color rgb="FFFF0000"/>
        <rFont val="Calibri"/>
        <family val="2"/>
        <charset val="204"/>
        <scheme val="minor"/>
      </rPr>
      <t>K-160</t>
    </r>
    <r>
      <rPr>
        <b/>
        <i/>
        <sz val="10"/>
        <color theme="1"/>
        <rFont val="Calibri"/>
        <family val="2"/>
        <charset val="204"/>
        <scheme val="minor"/>
      </rPr>
      <t xml:space="preserve">   K-100  </t>
    </r>
  </si>
  <si>
    <t>არა  აქვს  კუდების  ელევატორი  ანუ  შლამი   აქვს  0-16 მმ. It does not have a tail elevator, i.e. it has sludge of 0-16 mm.</t>
  </si>
  <si>
    <t>შლამი.  Шлами. Sludge</t>
  </si>
  <si>
    <t>ტ/დღე. Тн./Сутки.   t/d</t>
  </si>
  <si>
    <r>
      <t>მ</t>
    </r>
    <r>
      <rPr>
        <b/>
        <i/>
        <vertAlign val="superscript"/>
        <sz val="8"/>
        <color rgb="FFFF0000"/>
        <rFont val="Calibri"/>
        <family val="2"/>
        <charset val="204"/>
        <scheme val="minor"/>
      </rPr>
      <t>3</t>
    </r>
    <r>
      <rPr>
        <b/>
        <i/>
        <sz val="8"/>
        <color rgb="FFFF0000"/>
        <rFont val="Calibri"/>
        <family val="2"/>
        <charset val="204"/>
        <scheme val="minor"/>
      </rPr>
      <t>/დღე.  М</t>
    </r>
    <r>
      <rPr>
        <b/>
        <i/>
        <vertAlign val="superscript"/>
        <sz val="8"/>
        <color rgb="FFFF0000"/>
        <rFont val="Calibri"/>
        <family val="2"/>
        <charset val="204"/>
        <scheme val="minor"/>
      </rPr>
      <t>3</t>
    </r>
    <r>
      <rPr>
        <b/>
        <i/>
        <sz val="8"/>
        <color rgb="FFFF0000"/>
        <rFont val="Calibri"/>
        <family val="2"/>
        <charset val="204"/>
        <scheme val="minor"/>
      </rPr>
      <t>/Сутки  m3/d</t>
    </r>
  </si>
  <si>
    <t>ტ/სთ.Т/Час.  t/h</t>
  </si>
  <si>
    <r>
      <t>მ</t>
    </r>
    <r>
      <rPr>
        <b/>
        <i/>
        <vertAlign val="superscript"/>
        <sz val="8"/>
        <color rgb="FFFF0000"/>
        <rFont val="Calibri"/>
        <family val="2"/>
        <charset val="204"/>
        <scheme val="minor"/>
      </rPr>
      <t>3</t>
    </r>
    <r>
      <rPr>
        <b/>
        <i/>
        <sz val="8"/>
        <color rgb="FFFF0000"/>
        <rFont val="Calibri"/>
        <family val="2"/>
        <charset val="204"/>
        <scheme val="minor"/>
      </rPr>
      <t>/სთ.М</t>
    </r>
    <r>
      <rPr>
        <b/>
        <i/>
        <vertAlign val="superscript"/>
        <sz val="8"/>
        <color rgb="FFFF0000"/>
        <rFont val="Calibri"/>
        <family val="2"/>
        <charset val="204"/>
        <scheme val="minor"/>
      </rPr>
      <t>3</t>
    </r>
    <r>
      <rPr>
        <b/>
        <i/>
        <sz val="8"/>
        <color rgb="FFFF0000"/>
        <rFont val="Calibri"/>
        <family val="2"/>
        <charset val="204"/>
        <scheme val="minor"/>
      </rPr>
      <t>/Час.  M3/h</t>
    </r>
  </si>
  <si>
    <t xml:space="preserve">Т:Ж  წონით  по  весу.   By weight </t>
  </si>
  <si>
    <t xml:space="preserve">Т:Ж  მოცულ. По  объему.  By volume </t>
  </si>
  <si>
    <t>შუალედი        Пром.пр.  Middlings</t>
  </si>
  <si>
    <t>შუალედური პროდუქტი. Промежуточный  продукт.Middlings</t>
  </si>
  <si>
    <r>
      <rPr>
        <b/>
        <i/>
        <sz val="10"/>
        <rFont val="Calibri"/>
        <family val="2"/>
        <charset val="204"/>
        <scheme val="minor"/>
      </rPr>
      <t xml:space="preserve">  ტუმბო  Насос  Pump </t>
    </r>
    <r>
      <rPr>
        <b/>
        <i/>
        <sz val="10"/>
        <color rgb="FFFF0000"/>
        <rFont val="Calibri"/>
        <family val="2"/>
        <charset val="204"/>
        <scheme val="minor"/>
      </rPr>
      <t xml:space="preserve"> K-100   K-80  </t>
    </r>
  </si>
  <si>
    <r>
      <t>180 მ</t>
    </r>
    <r>
      <rPr>
        <b/>
        <i/>
        <vertAlign val="superscript"/>
        <sz val="10"/>
        <color rgb="FFFF0000"/>
        <rFont val="Calibri"/>
        <family val="2"/>
        <charset val="204"/>
        <scheme val="minor"/>
      </rPr>
      <t>3</t>
    </r>
    <r>
      <rPr>
        <b/>
        <i/>
        <sz val="10"/>
        <color rgb="FFFF0000"/>
        <rFont val="Calibri"/>
        <family val="2"/>
        <charset val="204"/>
        <scheme val="minor"/>
      </rPr>
      <t>/სთ.  180 m3/h</t>
    </r>
  </si>
  <si>
    <t xml:space="preserve">  აქვს  კუდების  ელევატორი  ანუ  შლამი   აქვს  0-3 მმ.  It has a tail elevator, i.e. it has sludge of 0-3 mm.</t>
  </si>
  <si>
    <r>
      <rPr>
        <b/>
        <i/>
        <sz val="10"/>
        <rFont val="Calibri"/>
        <family val="2"/>
        <charset val="204"/>
        <scheme val="minor"/>
      </rPr>
      <t>ტუმბო. Насос  Pump</t>
    </r>
    <r>
      <rPr>
        <b/>
        <i/>
        <sz val="10"/>
        <color rgb="FFFF0000"/>
        <rFont val="Calibri"/>
        <family val="2"/>
        <charset val="204"/>
        <scheme val="minor"/>
      </rPr>
      <t xml:space="preserve"> Pedrollo  F100/160. (60-360)</t>
    </r>
  </si>
  <si>
    <r>
      <t>ტუმბოს  წარმადობა  მერყეობს  ძალიან  დიდ  დიაპაზონში 60-360 მ</t>
    </r>
    <r>
      <rPr>
        <b/>
        <i/>
        <vertAlign val="superscript"/>
        <sz val="10"/>
        <color rgb="FFFF0000"/>
        <rFont val="Calibri"/>
        <family val="2"/>
        <charset val="204"/>
        <scheme val="minor"/>
      </rPr>
      <t>3</t>
    </r>
    <r>
      <rPr>
        <b/>
        <i/>
        <sz val="10"/>
        <color rgb="FFFF0000"/>
        <rFont val="Calibri"/>
        <family val="2"/>
        <charset val="204"/>
        <scheme val="minor"/>
      </rPr>
      <t>/სთ.  გათვლა  ვერ გაკეთდა.  Производительность  насоса колеблется  в  болшом  диапазане  60-360М</t>
    </r>
    <r>
      <rPr>
        <b/>
        <i/>
        <vertAlign val="superscript"/>
        <sz val="10"/>
        <color rgb="FFFF0000"/>
        <rFont val="Calibri"/>
        <family val="2"/>
        <charset val="204"/>
        <scheme val="minor"/>
      </rPr>
      <t>3</t>
    </r>
    <r>
      <rPr>
        <b/>
        <i/>
        <sz val="10"/>
        <color rgb="FFFF0000"/>
        <rFont val="Calibri"/>
        <family val="2"/>
        <charset val="204"/>
        <scheme val="minor"/>
      </rPr>
      <t>/час  по этому  не  удалос  подсчитать. Pump capacity ranges from 60-360 m3/h in a very large range. The calculation could not be done.</t>
    </r>
  </si>
  <si>
    <r>
      <rPr>
        <b/>
        <i/>
        <sz val="10"/>
        <rFont val="Calibri"/>
        <family val="2"/>
        <charset val="204"/>
        <scheme val="minor"/>
      </rPr>
      <t>ტუმბო. Насос Pump</t>
    </r>
    <r>
      <rPr>
        <b/>
        <i/>
        <sz val="10"/>
        <color rgb="FFFF0000"/>
        <rFont val="Calibri"/>
        <family val="2"/>
        <charset val="204"/>
        <scheme val="minor"/>
      </rPr>
      <t xml:space="preserve"> К-160/30.</t>
    </r>
  </si>
  <si>
    <r>
      <rPr>
        <b/>
        <i/>
        <sz val="10"/>
        <rFont val="Calibri"/>
        <family val="2"/>
        <charset val="204"/>
        <scheme val="minor"/>
      </rPr>
      <t>ტუმბო. Насос</t>
    </r>
    <r>
      <rPr>
        <b/>
        <i/>
        <sz val="10"/>
        <color rgb="FFFF0000"/>
        <rFont val="Calibri"/>
        <family val="2"/>
        <charset val="204"/>
        <scheme val="minor"/>
      </rPr>
      <t xml:space="preserve">  </t>
    </r>
    <r>
      <rPr>
        <b/>
        <i/>
        <sz val="10"/>
        <rFont val="Calibri"/>
        <family val="2"/>
        <charset val="204"/>
        <scheme val="minor"/>
      </rPr>
      <t>Pump</t>
    </r>
    <r>
      <rPr>
        <b/>
        <i/>
        <sz val="10"/>
        <color rgb="FFFF0000"/>
        <rFont val="Calibri"/>
        <family val="2"/>
        <charset val="204"/>
        <scheme val="minor"/>
      </rPr>
      <t xml:space="preserve"> К-160/30.</t>
    </r>
  </si>
  <si>
    <r>
      <rPr>
        <b/>
        <i/>
        <sz val="10"/>
        <rFont val="Calibri"/>
        <family val="2"/>
        <charset val="204"/>
        <scheme val="minor"/>
      </rPr>
      <t>ტუმბო.  Насос Pump</t>
    </r>
    <r>
      <rPr>
        <b/>
        <i/>
        <sz val="10"/>
        <color rgb="FFFF0000"/>
        <rFont val="Calibri"/>
        <family val="2"/>
        <charset val="204"/>
        <scheme val="minor"/>
      </rPr>
      <t xml:space="preserve">  6К-12.  </t>
    </r>
  </si>
  <si>
    <r>
      <rPr>
        <b/>
        <i/>
        <sz val="10"/>
        <rFont val="Calibri"/>
        <family val="2"/>
        <charset val="204"/>
        <scheme val="minor"/>
      </rPr>
      <t>ტუმბო  ორი . Насос</t>
    </r>
    <r>
      <rPr>
        <b/>
        <i/>
        <sz val="10"/>
        <color rgb="FFFF0000"/>
        <rFont val="Calibri"/>
        <family val="2"/>
        <charset val="204"/>
        <scheme val="minor"/>
      </rPr>
      <t xml:space="preserve"> </t>
    </r>
    <r>
      <rPr>
        <b/>
        <i/>
        <sz val="10"/>
        <rFont val="Calibri"/>
        <family val="2"/>
        <charset val="204"/>
        <scheme val="minor"/>
      </rPr>
      <t>два   Pump Two</t>
    </r>
    <r>
      <rPr>
        <b/>
        <i/>
        <sz val="10"/>
        <color rgb="FFFF0000"/>
        <rFont val="Calibri"/>
        <family val="2"/>
        <charset val="204"/>
        <scheme val="minor"/>
      </rPr>
      <t xml:space="preserve"> К-290/30.</t>
    </r>
  </si>
  <si>
    <t>The capacity of the pump ФГ-680 could not be accurately determined as it has not been produced for years and the pump could not be found with such numbers when compared to the old model base. (680 + 160 + 200) * 0.9 = 936 m3/h. However, this figure needs to be clarified.</t>
  </si>
  <si>
    <r>
      <rPr>
        <b/>
        <i/>
        <sz val="10"/>
        <rFont val="Calibri"/>
        <family val="2"/>
        <charset val="204"/>
        <scheme val="minor"/>
      </rPr>
      <t>ტუმბო  . Насос Pump</t>
    </r>
    <r>
      <rPr>
        <b/>
        <i/>
        <sz val="10"/>
        <color rgb="FFFF0000"/>
        <rFont val="Calibri"/>
        <family val="2"/>
        <charset val="204"/>
        <scheme val="minor"/>
      </rPr>
      <t xml:space="preserve">  6К-12.  </t>
    </r>
  </si>
  <si>
    <t xml:space="preserve">მეორე  ტუმბო  NE1,2X25  გამოიყენება   თიხიანი  მადნის  შემთხვევაში მისი   წარმადობის  შესახებ  მონაცემები  უცნობია.  The second pump NE1,2X25 is used in the case of clay ore, its performance data are unknown.  Производительность второго насоса  не  удалос  выяснить  ноо его  исползуют  толко  при  глинистой  руде. </t>
  </si>
  <si>
    <r>
      <rPr>
        <b/>
        <i/>
        <sz val="10"/>
        <rFont val="Calibri"/>
        <family val="2"/>
        <charset val="204"/>
        <scheme val="minor"/>
      </rPr>
      <t>ტუმბო.   Насос</t>
    </r>
    <r>
      <rPr>
        <b/>
        <i/>
        <sz val="10"/>
        <color rgb="FFFF0000"/>
        <rFont val="Calibri"/>
        <family val="2"/>
        <charset val="204"/>
        <scheme val="minor"/>
      </rPr>
      <t xml:space="preserve"> </t>
    </r>
    <r>
      <rPr>
        <b/>
        <i/>
        <sz val="10"/>
        <rFont val="Calibri"/>
        <family val="2"/>
        <charset val="204"/>
        <scheme val="minor"/>
      </rPr>
      <t>Pump</t>
    </r>
    <r>
      <rPr>
        <b/>
        <i/>
        <sz val="10"/>
        <color rgb="FFFF0000"/>
        <rFont val="Calibri"/>
        <family val="2"/>
        <charset val="204"/>
        <scheme val="minor"/>
      </rPr>
      <t xml:space="preserve"> 6К-12</t>
    </r>
  </si>
  <si>
    <r>
      <rPr>
        <b/>
        <i/>
        <sz val="10"/>
        <rFont val="Calibri"/>
        <family val="2"/>
        <charset val="204"/>
        <scheme val="minor"/>
      </rPr>
      <t>ტუმბო.  Насос Pump</t>
    </r>
    <r>
      <rPr>
        <b/>
        <i/>
        <sz val="10"/>
        <color rgb="FFFF0000"/>
        <rFont val="Calibri"/>
        <family val="2"/>
        <charset val="204"/>
        <scheme val="minor"/>
      </rPr>
      <t xml:space="preserve">  6К-12  </t>
    </r>
  </si>
  <si>
    <r>
      <rPr>
        <b/>
        <i/>
        <sz val="10"/>
        <rFont val="Calibri"/>
        <family val="2"/>
        <charset val="204"/>
        <scheme val="minor"/>
      </rPr>
      <t>ტუმბო  . Насос  Pump</t>
    </r>
    <r>
      <rPr>
        <b/>
        <i/>
        <sz val="10"/>
        <color rgb="FFFF0000"/>
        <rFont val="Calibri"/>
        <family val="2"/>
        <charset val="204"/>
        <scheme val="minor"/>
      </rPr>
      <t xml:space="preserve">  6К-12  </t>
    </r>
  </si>
  <si>
    <r>
      <rPr>
        <b/>
        <i/>
        <sz val="10"/>
        <rFont val="Calibri"/>
        <family val="2"/>
        <charset val="204"/>
        <scheme val="minor"/>
      </rPr>
      <t>ტუმბო  . Насос   Pump</t>
    </r>
    <r>
      <rPr>
        <b/>
        <i/>
        <sz val="10"/>
        <color rgb="FFFF0000"/>
        <rFont val="Calibri"/>
        <family val="2"/>
        <charset val="204"/>
        <scheme val="minor"/>
      </rPr>
      <t xml:space="preserve">  ГРАТ 170/40.  </t>
    </r>
  </si>
  <si>
    <r>
      <rPr>
        <b/>
        <i/>
        <sz val="10"/>
        <rFont val="Calibri"/>
        <family val="2"/>
        <charset val="204"/>
        <scheme val="minor"/>
      </rPr>
      <t>ტუმბო  . Насос  Pump</t>
    </r>
    <r>
      <rPr>
        <b/>
        <i/>
        <sz val="10"/>
        <color rgb="FFFF0000"/>
        <rFont val="Calibri"/>
        <family val="2"/>
        <charset val="204"/>
        <scheme val="minor"/>
      </rPr>
      <t xml:space="preserve">  К-160/30.  Sprut 80WQ40-15-4</t>
    </r>
  </si>
  <si>
    <t>ტუმბოს  შემწოვი  და  დამჭირხნი  მილები  შემცირებულია  წარმადობა  არის  სავარაუდო. Патрубки насоса  переделанны  производительность  ориентировочная. Pump suction and outlet tube assembly are reduced, performance is approximate.</t>
  </si>
  <si>
    <t>ტუმბოს   შემწოვი  და  დამჭირხნი  მილები  აქვს  გადაკეთებული 200/150  და  150/100  გამოვიყენე  გადამყვანი  კოეფიციენტი 70%  ანუ 150/200*100=74,5%   და  100/150*100=67 %. The pump suction and outlet tube assembly have been converted to 200/150 and 150/100 I used a conversion ratio of 70% or 150/200 * 100 = 74.5% and 100/150 * 100 = 67%</t>
  </si>
  <si>
    <r>
      <rPr>
        <b/>
        <i/>
        <sz val="10"/>
        <rFont val="Calibri"/>
        <family val="2"/>
        <charset val="204"/>
        <scheme val="minor"/>
      </rPr>
      <t>ტუმბო  . Насос  Pump</t>
    </r>
    <r>
      <rPr>
        <b/>
        <i/>
        <sz val="10"/>
        <color rgb="FFFF0000"/>
        <rFont val="Calibri"/>
        <family val="2"/>
        <charset val="204"/>
        <scheme val="minor"/>
      </rPr>
      <t xml:space="preserve">  К-160/30.  </t>
    </r>
  </si>
  <si>
    <t>ტუმბო  მოდელი  არ  იკითხება   Насос модель  не  читаеся  Pump model not identified.</t>
  </si>
  <si>
    <t>Approximate performance</t>
  </si>
  <si>
    <r>
      <t>180  m</t>
    </r>
    <r>
      <rPr>
        <b/>
        <i/>
        <vertAlign val="superscript"/>
        <sz val="10"/>
        <color rgb="FFFF0000"/>
        <rFont val="Calibri"/>
        <family val="2"/>
        <charset val="204"/>
        <scheme val="minor"/>
      </rPr>
      <t>3</t>
    </r>
    <r>
      <rPr>
        <b/>
        <i/>
        <sz val="10"/>
        <color rgb="FFFF0000"/>
        <rFont val="Calibri"/>
        <family val="2"/>
        <charset val="204"/>
        <scheme val="minor"/>
      </rPr>
      <t>/h</t>
    </r>
  </si>
  <si>
    <t>It has three reservoirs for sludge, with a total capacity of about 1200 m2, according to the factory managers, their depth is on average 10 meters. The reservoirs are processed in accordance with the filling and turn the drained water back into technology.</t>
  </si>
  <si>
    <t>Out of service</t>
  </si>
  <si>
    <t>დაბალი  ხარისხის  მადანი. Руда  низкого  качества. Low Quality Ore</t>
  </si>
  <si>
    <t>მაღალი  ხარისხის  მადანი.   Руда  високого  качества. High Quality Ore</t>
  </si>
  <si>
    <r>
      <t>100  m</t>
    </r>
    <r>
      <rPr>
        <b/>
        <i/>
        <vertAlign val="superscript"/>
        <sz val="10"/>
        <color rgb="FFFF0000"/>
        <rFont val="Calibri"/>
        <family val="2"/>
        <charset val="204"/>
        <scheme val="minor"/>
      </rPr>
      <t>3</t>
    </r>
    <r>
      <rPr>
        <b/>
        <i/>
        <sz val="10"/>
        <color rgb="FFFF0000"/>
        <rFont val="Calibri"/>
        <family val="2"/>
        <charset val="204"/>
        <scheme val="minor"/>
      </rPr>
      <t>/h</t>
    </r>
  </si>
  <si>
    <t>The capacity according to the label is 125 m 3 / h, however the pump is 2 meters below the horizon of the suction water or no energy is spent on the suction, therefore the actual capacity should be much higher than 125 m 3 / h.</t>
  </si>
  <si>
    <r>
      <rPr>
        <b/>
        <i/>
        <sz val="10"/>
        <rFont val="Calibri"/>
        <family val="2"/>
        <charset val="204"/>
        <scheme val="minor"/>
      </rPr>
      <t>ტუმბო  . Насос</t>
    </r>
    <r>
      <rPr>
        <b/>
        <i/>
        <sz val="10"/>
        <color rgb="FFFF0000"/>
        <rFont val="Calibri"/>
        <family val="2"/>
        <charset val="204"/>
        <scheme val="minor"/>
      </rPr>
      <t xml:space="preserve"> </t>
    </r>
    <r>
      <rPr>
        <b/>
        <i/>
        <sz val="10"/>
        <rFont val="Calibri"/>
        <family val="2"/>
        <charset val="204"/>
        <scheme val="minor"/>
      </rPr>
      <t>Pump</t>
    </r>
    <r>
      <rPr>
        <b/>
        <i/>
        <sz val="10"/>
        <color rgb="FFFF0000"/>
        <rFont val="Calibri"/>
        <family val="2"/>
        <charset val="204"/>
        <scheme val="minor"/>
      </rPr>
      <t xml:space="preserve"> 4K6.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</si>
</sst>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_-* #,##0.00_-;\-* #,##0.00_-;_-* &quot;-&quot;??_-;_-@_-"/>
    <numFmt numFmtId="166" formatCode="0.0"/>
    <numFmt numFmtId="167" formatCode="#,##0.0_ ;[Red]\-#,##0.0\ "/>
    <numFmt numFmtId="168" formatCode="#,##0_ ;[Red]\-#,##0\ "/>
  </numFmts>
  <fonts count="16" x14ac:knownFonts="1">
    <font>
      <sz val="11"/>
      <color theme="1"/>
      <name val="Calibri"/>
      <family val="2"/>
      <charset val="204"/>
      <scheme val="minor"/>
    </font>
    <font>
      <b/>
      <i/>
      <sz val="9"/>
      <color theme="1"/>
      <name val="Calibri"/>
      <family val="2"/>
      <charset val="204"/>
      <scheme val="minor"/>
    </font>
    <font>
      <b/>
      <i/>
      <vertAlign val="subscript"/>
      <sz val="9"/>
      <color theme="1"/>
      <name val="Calibri"/>
      <family val="2"/>
      <charset val="204"/>
      <scheme val="minor"/>
    </font>
    <font>
      <b/>
      <i/>
      <sz val="14"/>
      <color theme="1"/>
      <name val="Calibri"/>
      <family val="2"/>
      <charset val="204"/>
      <scheme val="minor"/>
    </font>
    <font>
      <sz val="11"/>
      <color theme="1"/>
      <name val="Calibri"/>
      <family val="2"/>
      <charset val="204"/>
      <scheme val="minor"/>
    </font>
    <font>
      <sz val="8"/>
      <name val="Calibri"/>
      <family val="2"/>
      <charset val="204"/>
      <scheme val="minor"/>
    </font>
    <font>
      <b/>
      <i/>
      <sz val="10"/>
      <color theme="1"/>
      <name val="Calibri"/>
      <family val="2"/>
      <charset val="204"/>
      <scheme val="minor"/>
    </font>
    <font>
      <b/>
      <i/>
      <sz val="10"/>
      <color rgb="FFFF0000"/>
      <name val="Calibri"/>
      <family val="2"/>
      <charset val="204"/>
      <scheme val="minor"/>
    </font>
    <font>
      <b/>
      <i/>
      <vertAlign val="superscript"/>
      <sz val="10"/>
      <color rgb="FFFF0000"/>
      <name val="Calibri"/>
      <family val="2"/>
      <charset val="204"/>
      <scheme val="minor"/>
    </font>
    <font>
      <b/>
      <i/>
      <sz val="10"/>
      <name val="Calibri"/>
      <family val="2"/>
      <charset val="204"/>
      <scheme val="minor"/>
    </font>
    <font>
      <b/>
      <i/>
      <sz val="9"/>
      <color rgb="FFFF0000"/>
      <name val="Calibri"/>
      <family val="2"/>
      <charset val="204"/>
      <scheme val="minor"/>
    </font>
    <font>
      <b/>
      <i/>
      <sz val="8"/>
      <color rgb="FFFF0000"/>
      <name val="Calibri"/>
      <family val="2"/>
      <charset val="204"/>
      <scheme val="minor"/>
    </font>
    <font>
      <b/>
      <i/>
      <vertAlign val="superscript"/>
      <sz val="8"/>
      <color rgb="FFFF0000"/>
      <name val="Calibri"/>
      <family val="2"/>
      <charset val="204"/>
      <scheme val="minor"/>
    </font>
    <font>
      <b/>
      <i/>
      <sz val="11"/>
      <color rgb="FFFF0000"/>
      <name val="Calibri"/>
      <family val="2"/>
      <charset val="204"/>
      <scheme val="minor"/>
    </font>
    <font>
      <sz val="9"/>
      <color theme="1"/>
      <name val="Calibri"/>
      <family val="2"/>
      <charset val="204"/>
      <scheme val="minor"/>
    </font>
    <font>
      <vertAlign val="superscript"/>
      <sz val="9"/>
      <color theme="1"/>
      <name val="Calibri"/>
      <family val="2"/>
      <charset val="204"/>
      <scheme val="minor"/>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3">
    <xf numFmtId="0" fontId="0" fillId="0" borderId="0"/>
    <xf numFmtId="165" fontId="4" fillId="0" borderId="0" applyFont="0" applyFill="0" applyBorder="0" applyAlignment="0" applyProtection="0"/>
    <xf numFmtId="164" fontId="4" fillId="0" borderId="0" applyFont="0" applyFill="0" applyBorder="0" applyAlignment="0" applyProtection="0"/>
  </cellStyleXfs>
  <cellXfs count="173">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xf>
    <xf numFmtId="2" fontId="1" fillId="0" borderId="2" xfId="0" applyNumberFormat="1" applyFont="1" applyBorder="1" applyAlignment="1">
      <alignment vertical="center"/>
    </xf>
    <xf numFmtId="2" fontId="1" fillId="0" borderId="0" xfId="0" applyNumberFormat="1" applyFont="1" applyBorder="1" applyAlignment="1">
      <alignment vertical="center"/>
    </xf>
    <xf numFmtId="164" fontId="1" fillId="0" borderId="2" xfId="2" applyFont="1" applyBorder="1" applyAlignment="1">
      <alignment vertical="center" wrapText="1"/>
    </xf>
    <xf numFmtId="164" fontId="1" fillId="0" borderId="0" xfId="2" applyFont="1" applyBorder="1" applyAlignment="1">
      <alignment vertical="center" wrapText="1"/>
    </xf>
    <xf numFmtId="49" fontId="1" fillId="0" borderId="0" xfId="0" applyNumberFormat="1"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2" fontId="11" fillId="0" borderId="2"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7" fillId="0" borderId="0" xfId="0" applyNumberFormat="1" applyFont="1" applyAlignment="1">
      <alignment horizontal="center" vertical="center"/>
    </xf>
    <xf numFmtId="49" fontId="7" fillId="0" borderId="0" xfId="0" applyNumberFormat="1"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2" borderId="0" xfId="0" applyFont="1" applyFill="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2" fontId="11"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166" fontId="7" fillId="0" borderId="0" xfId="0" applyNumberFormat="1" applyFont="1" applyAlignment="1">
      <alignment horizontal="center" vertical="center"/>
    </xf>
    <xf numFmtId="0" fontId="7" fillId="2" borderId="0" xfId="0" applyFont="1" applyFill="1" applyAlignment="1">
      <alignment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center" vertical="center"/>
    </xf>
    <xf numFmtId="0" fontId="7" fillId="2" borderId="0" xfId="0" applyFont="1" applyFill="1" applyAlignment="1">
      <alignment vertical="top" wrapText="1"/>
    </xf>
    <xf numFmtId="0" fontId="6" fillId="0" borderId="0" xfId="0" applyFont="1" applyAlignment="1">
      <alignment horizontal="center" vertical="center"/>
    </xf>
    <xf numFmtId="0" fontId="3" fillId="0" borderId="0" xfId="0" applyFont="1" applyAlignment="1">
      <alignment horizontal="center" vertical="center"/>
    </xf>
    <xf numFmtId="0" fontId="14" fillId="0" borderId="0" xfId="0" applyFont="1" applyAlignment="1">
      <alignment vertical="top"/>
    </xf>
    <xf numFmtId="0" fontId="14" fillId="0" borderId="0" xfId="0" applyFont="1" applyAlignment="1">
      <alignment horizontal="center" vertical="top" wrapText="1"/>
    </xf>
    <xf numFmtId="0" fontId="14" fillId="0" borderId="6" xfId="0" applyFont="1" applyBorder="1" applyAlignment="1">
      <alignment vertical="top"/>
    </xf>
    <xf numFmtId="167" fontId="14" fillId="0" borderId="0" xfId="0" applyNumberFormat="1" applyFont="1" applyAlignment="1">
      <alignment horizontal="right" vertical="top"/>
    </xf>
    <xf numFmtId="167" fontId="14" fillId="0" borderId="6" xfId="0" applyNumberFormat="1" applyFont="1" applyBorder="1" applyAlignment="1">
      <alignment horizontal="right" vertical="top"/>
    </xf>
    <xf numFmtId="49" fontId="14" fillId="0" borderId="0" xfId="0" applyNumberFormat="1" applyFont="1" applyAlignment="1">
      <alignment horizontal="right" vertical="top"/>
    </xf>
    <xf numFmtId="0" fontId="14" fillId="0" borderId="6" xfId="0" applyNumberFormat="1" applyFont="1" applyBorder="1" applyAlignment="1">
      <alignment horizontal="right" vertical="top"/>
    </xf>
    <xf numFmtId="168" fontId="14" fillId="0" borderId="6" xfId="0" applyNumberFormat="1" applyFont="1" applyBorder="1" applyAlignment="1">
      <alignment horizontal="right" vertical="top"/>
    </xf>
    <xf numFmtId="0" fontId="1" fillId="0" borderId="0" xfId="0" applyFont="1" applyAlignment="1">
      <alignment horizontal="center" vertical="center" wrapText="1"/>
    </xf>
    <xf numFmtId="2" fontId="1" fillId="0" borderId="0" xfId="0" applyNumberFormat="1" applyFont="1" applyAlignment="1">
      <alignment vertical="center"/>
    </xf>
    <xf numFmtId="2" fontId="10" fillId="0" borderId="0" xfId="0" applyNumberFormat="1" applyFont="1" applyAlignment="1">
      <alignment horizontal="center" vertical="center"/>
    </xf>
    <xf numFmtId="49" fontId="10" fillId="0" borderId="0" xfId="0" applyNumberFormat="1" applyFont="1" applyAlignment="1">
      <alignment horizontal="center" vertical="center"/>
    </xf>
    <xf numFmtId="2"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6" fillId="0" borderId="0" xfId="0" applyFont="1" applyAlignment="1">
      <alignment horizontal="center" vertical="center"/>
    </xf>
    <xf numFmtId="2" fontId="11" fillId="0" borderId="0" xfId="0" applyNumberFormat="1" applyFont="1" applyBorder="1" applyAlignment="1">
      <alignment horizontal="center" vertical="center"/>
    </xf>
    <xf numFmtId="0" fontId="14" fillId="11" borderId="6" xfId="0" applyFont="1" applyFill="1" applyBorder="1" applyAlignment="1">
      <alignment horizontal="center" vertical="center"/>
    </xf>
    <xf numFmtId="0" fontId="14" fillId="12" borderId="6" xfId="0" applyFont="1" applyFill="1" applyBorder="1" applyAlignment="1">
      <alignment horizontal="center" vertical="center"/>
    </xf>
    <xf numFmtId="0" fontId="14" fillId="4" borderId="6" xfId="0" applyFont="1" applyFill="1" applyBorder="1" applyAlignment="1">
      <alignment vertical="center"/>
    </xf>
    <xf numFmtId="0" fontId="14" fillId="5" borderId="6" xfId="0" applyFont="1" applyFill="1" applyBorder="1" applyAlignment="1">
      <alignment vertical="center"/>
    </xf>
    <xf numFmtId="0" fontId="14" fillId="6" borderId="6" xfId="0" applyFont="1" applyFill="1" applyBorder="1" applyAlignment="1">
      <alignment vertical="center"/>
    </xf>
    <xf numFmtId="0" fontId="14" fillId="7" borderId="6" xfId="0" applyFont="1" applyFill="1" applyBorder="1" applyAlignment="1">
      <alignment vertical="center"/>
    </xf>
    <xf numFmtId="0" fontId="14" fillId="8" borderId="6" xfId="0" applyFont="1" applyFill="1" applyBorder="1" applyAlignment="1">
      <alignment vertical="center"/>
    </xf>
    <xf numFmtId="0" fontId="14" fillId="9" borderId="6" xfId="0" applyFont="1" applyFill="1" applyBorder="1" applyAlignment="1">
      <alignment vertical="center"/>
    </xf>
    <xf numFmtId="0" fontId="14" fillId="10" borderId="6" xfId="0" applyFont="1" applyFill="1" applyBorder="1" applyAlignment="1">
      <alignment vertical="center"/>
    </xf>
    <xf numFmtId="0" fontId="14" fillId="11" borderId="6" xfId="0" applyFont="1" applyFill="1" applyBorder="1" applyAlignment="1">
      <alignment vertical="center"/>
    </xf>
    <xf numFmtId="0" fontId="14" fillId="12" borderId="6" xfId="0" applyFont="1" applyFill="1" applyBorder="1" applyAlignment="1">
      <alignment vertical="center"/>
    </xf>
    <xf numFmtId="0" fontId="14" fillId="13" borderId="6" xfId="0" applyFont="1" applyFill="1" applyBorder="1" applyAlignment="1">
      <alignment vertical="center"/>
    </xf>
    <xf numFmtId="0" fontId="14" fillId="14" borderId="6" xfId="0" applyFont="1" applyFill="1" applyBorder="1" applyAlignment="1">
      <alignment vertical="center"/>
    </xf>
    <xf numFmtId="0" fontId="14" fillId="14" borderId="6" xfId="0" applyFont="1" applyFill="1" applyBorder="1" applyAlignment="1">
      <alignment vertical="center" wrapText="1"/>
    </xf>
    <xf numFmtId="49" fontId="14" fillId="3" borderId="6" xfId="0" applyNumberFormat="1" applyFont="1" applyFill="1" applyBorder="1" applyAlignment="1">
      <alignment horizontal="center" vertical="center" wrapText="1"/>
    </xf>
    <xf numFmtId="168" fontId="14" fillId="4" borderId="6" xfId="0" applyNumberFormat="1" applyFont="1" applyFill="1" applyBorder="1" applyAlignment="1">
      <alignment horizontal="center" vertical="center"/>
    </xf>
    <xf numFmtId="168" fontId="14" fillId="5" borderId="6" xfId="0" applyNumberFormat="1" applyFont="1" applyFill="1" applyBorder="1" applyAlignment="1">
      <alignment horizontal="center" vertical="center"/>
    </xf>
    <xf numFmtId="168" fontId="14" fillId="6" borderId="6" xfId="0" applyNumberFormat="1" applyFont="1" applyFill="1" applyBorder="1" applyAlignment="1">
      <alignment horizontal="center" vertical="center"/>
    </xf>
    <xf numFmtId="168" fontId="14" fillId="7" borderId="6" xfId="0" applyNumberFormat="1" applyFont="1" applyFill="1" applyBorder="1" applyAlignment="1">
      <alignment horizontal="center" vertical="center"/>
    </xf>
    <xf numFmtId="49" fontId="14" fillId="7" borderId="6" xfId="0" applyNumberFormat="1" applyFont="1" applyFill="1" applyBorder="1" applyAlignment="1">
      <alignment horizontal="center" vertical="center"/>
    </xf>
    <xf numFmtId="168" fontId="14" fillId="8" borderId="6" xfId="0" applyNumberFormat="1" applyFont="1" applyFill="1" applyBorder="1" applyAlignment="1">
      <alignment horizontal="center" vertical="center"/>
    </xf>
    <xf numFmtId="168" fontId="14" fillId="9" borderId="6" xfId="0" applyNumberFormat="1" applyFont="1" applyFill="1" applyBorder="1" applyAlignment="1">
      <alignment horizontal="center" vertical="center"/>
    </xf>
    <xf numFmtId="168" fontId="14" fillId="10" borderId="6" xfId="0" applyNumberFormat="1" applyFont="1" applyFill="1" applyBorder="1" applyAlignment="1">
      <alignment horizontal="center" vertical="center"/>
    </xf>
    <xf numFmtId="168" fontId="14" fillId="11" borderId="6" xfId="0" applyNumberFormat="1" applyFont="1" applyFill="1" applyBorder="1" applyAlignment="1">
      <alignment horizontal="center" vertical="center"/>
    </xf>
    <xf numFmtId="168" fontId="14" fillId="12" borderId="6" xfId="0" applyNumberFormat="1" applyFont="1" applyFill="1" applyBorder="1" applyAlignment="1">
      <alignment horizontal="center" vertical="center"/>
    </xf>
    <xf numFmtId="168" fontId="14" fillId="13" borderId="6" xfId="0" applyNumberFormat="1" applyFont="1" applyFill="1" applyBorder="1" applyAlignment="1">
      <alignment horizontal="center" vertical="center"/>
    </xf>
    <xf numFmtId="168" fontId="14" fillId="14" borderId="6" xfId="0" applyNumberFormat="1" applyFont="1" applyFill="1" applyBorder="1" applyAlignment="1">
      <alignment horizontal="center" vertical="center"/>
    </xf>
    <xf numFmtId="168" fontId="14" fillId="14" borderId="6" xfId="0" applyNumberFormat="1" applyFont="1" applyFill="1" applyBorder="1" applyAlignment="1">
      <alignment horizontal="center" vertical="top"/>
    </xf>
    <xf numFmtId="167" fontId="14" fillId="4" borderId="6"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0" fontId="14" fillId="4" borderId="6" xfId="0" applyNumberFormat="1" applyFont="1" applyFill="1" applyBorder="1" applyAlignment="1">
      <alignment horizontal="center" vertical="center"/>
    </xf>
    <xf numFmtId="167" fontId="14" fillId="5" borderId="6" xfId="0" applyNumberFormat="1" applyFont="1" applyFill="1" applyBorder="1" applyAlignment="1">
      <alignment horizontal="center" vertical="center"/>
    </xf>
    <xf numFmtId="49" fontId="14" fillId="5" borderId="6" xfId="0" applyNumberFormat="1" applyFont="1" applyFill="1" applyBorder="1" applyAlignment="1">
      <alignment horizontal="center" vertical="center"/>
    </xf>
    <xf numFmtId="0" fontId="14" fillId="5" borderId="6" xfId="0" applyNumberFormat="1" applyFont="1" applyFill="1" applyBorder="1" applyAlignment="1">
      <alignment horizontal="center" vertical="center"/>
    </xf>
    <xf numFmtId="167" fontId="14" fillId="6" borderId="6" xfId="0" applyNumberFormat="1" applyFont="1" applyFill="1" applyBorder="1" applyAlignment="1">
      <alignment horizontal="center" vertical="center"/>
    </xf>
    <xf numFmtId="49" fontId="14" fillId="6" borderId="6" xfId="0" applyNumberFormat="1" applyFont="1" applyFill="1" applyBorder="1" applyAlignment="1">
      <alignment horizontal="center" vertical="center"/>
    </xf>
    <xf numFmtId="167" fontId="14" fillId="7" borderId="6" xfId="0" applyNumberFormat="1" applyFont="1" applyFill="1" applyBorder="1" applyAlignment="1">
      <alignment horizontal="center" vertical="center"/>
    </xf>
    <xf numFmtId="0" fontId="14" fillId="7" borderId="6" xfId="0" applyNumberFormat="1" applyFont="1" applyFill="1" applyBorder="1" applyAlignment="1">
      <alignment horizontal="center" vertical="center"/>
    </xf>
    <xf numFmtId="167" fontId="14" fillId="8" borderId="6" xfId="0" applyNumberFormat="1" applyFont="1" applyFill="1" applyBorder="1" applyAlignment="1">
      <alignment horizontal="center" vertical="center"/>
    </xf>
    <xf numFmtId="49" fontId="14" fillId="8" borderId="6" xfId="0" applyNumberFormat="1" applyFont="1" applyFill="1" applyBorder="1" applyAlignment="1">
      <alignment horizontal="center" vertical="center"/>
    </xf>
    <xf numFmtId="167" fontId="14" fillId="9" borderId="6" xfId="0" applyNumberFormat="1" applyFont="1" applyFill="1" applyBorder="1" applyAlignment="1">
      <alignment horizontal="center" vertical="center"/>
    </xf>
    <xf numFmtId="49" fontId="14" fillId="9" borderId="6" xfId="0" applyNumberFormat="1" applyFont="1" applyFill="1" applyBorder="1" applyAlignment="1">
      <alignment horizontal="center" vertical="center"/>
    </xf>
    <xf numFmtId="167" fontId="14" fillId="10" borderId="6" xfId="0" applyNumberFormat="1" applyFont="1" applyFill="1" applyBorder="1" applyAlignment="1">
      <alignment horizontal="center" vertical="center"/>
    </xf>
    <xf numFmtId="49" fontId="14" fillId="10" borderId="6" xfId="0" applyNumberFormat="1" applyFont="1" applyFill="1" applyBorder="1" applyAlignment="1">
      <alignment horizontal="center" vertical="center"/>
    </xf>
    <xf numFmtId="0" fontId="14" fillId="10" borderId="6" xfId="0" applyNumberFormat="1" applyFont="1" applyFill="1" applyBorder="1" applyAlignment="1">
      <alignment horizontal="center" vertical="center"/>
    </xf>
    <xf numFmtId="167" fontId="14" fillId="11" borderId="6" xfId="0" applyNumberFormat="1" applyFont="1" applyFill="1" applyBorder="1" applyAlignment="1">
      <alignment horizontal="center" vertical="center"/>
    </xf>
    <xf numFmtId="49" fontId="14" fillId="11" borderId="6" xfId="0" applyNumberFormat="1" applyFont="1" applyFill="1" applyBorder="1" applyAlignment="1">
      <alignment horizontal="center" vertical="center"/>
    </xf>
    <xf numFmtId="167" fontId="14" fillId="12" borderId="6" xfId="0" applyNumberFormat="1" applyFont="1" applyFill="1" applyBorder="1" applyAlignment="1">
      <alignment horizontal="center" vertical="center"/>
    </xf>
    <xf numFmtId="49" fontId="14" fillId="12" borderId="6" xfId="0" applyNumberFormat="1" applyFont="1" applyFill="1" applyBorder="1" applyAlignment="1">
      <alignment horizontal="center" vertical="center"/>
    </xf>
    <xf numFmtId="167" fontId="14" fillId="13" borderId="6" xfId="0" applyNumberFormat="1" applyFont="1" applyFill="1" applyBorder="1" applyAlignment="1">
      <alignment horizontal="center" vertical="center"/>
    </xf>
    <xf numFmtId="49" fontId="14" fillId="13" borderId="6" xfId="0" applyNumberFormat="1" applyFont="1" applyFill="1" applyBorder="1" applyAlignment="1">
      <alignment horizontal="center" vertical="center"/>
    </xf>
    <xf numFmtId="167" fontId="14" fillId="14" borderId="6" xfId="0" applyNumberFormat="1" applyFont="1" applyFill="1" applyBorder="1" applyAlignment="1">
      <alignment horizontal="center" vertical="center"/>
    </xf>
    <xf numFmtId="49" fontId="14" fillId="14" borderId="6" xfId="0" applyNumberFormat="1" applyFont="1" applyFill="1" applyBorder="1" applyAlignment="1">
      <alignment horizontal="center" vertical="center"/>
    </xf>
    <xf numFmtId="167" fontId="14" fillId="14" borderId="6" xfId="0" applyNumberFormat="1" applyFont="1" applyFill="1" applyBorder="1" applyAlignment="1">
      <alignment horizontal="center" vertical="top"/>
    </xf>
    <xf numFmtId="0" fontId="14" fillId="14" borderId="6" xfId="0" applyNumberFormat="1" applyFont="1" applyFill="1" applyBorder="1" applyAlignment="1">
      <alignment horizontal="center" vertical="top"/>
    </xf>
    <xf numFmtId="0" fontId="14" fillId="3" borderId="6" xfId="0"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7" fontId="14" fillId="3" borderId="6" xfId="0" applyNumberFormat="1"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6" fillId="0" borderId="0" xfId="0" applyFont="1" applyAlignment="1">
      <alignment horizontal="center" vertical="center"/>
    </xf>
    <xf numFmtId="164" fontId="10" fillId="0" borderId="2" xfId="2" applyFont="1" applyBorder="1" applyAlignment="1">
      <alignment horizontal="center" vertical="center" wrapText="1"/>
    </xf>
    <xf numFmtId="164" fontId="10" fillId="0" borderId="0" xfId="2" applyFont="1" applyBorder="1" applyAlignment="1">
      <alignment horizontal="center" vertical="center" wrapText="1"/>
    </xf>
    <xf numFmtId="0" fontId="3"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0" borderId="3" xfId="0" applyFont="1" applyBorder="1" applyAlignment="1">
      <alignment horizontal="center" vertical="center"/>
    </xf>
    <xf numFmtId="165" fontId="6" fillId="0" borderId="0" xfId="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49" fontId="10" fillId="0" borderId="0" xfId="0" applyNumberFormat="1" applyFont="1" applyBorder="1" applyAlignment="1">
      <alignment horizontal="center" vertical="center"/>
    </xf>
    <xf numFmtId="0" fontId="7" fillId="2" borderId="0" xfId="0" applyFont="1" applyFill="1" applyAlignment="1">
      <alignment horizontal="left" vertical="top" wrapText="1"/>
    </xf>
    <xf numFmtId="0" fontId="7" fillId="2" borderId="0" xfId="0" applyFont="1" applyFill="1" applyAlignment="1">
      <alignment horizontal="center" vertical="center"/>
    </xf>
    <xf numFmtId="49" fontId="10" fillId="0" borderId="0" xfId="0" applyNumberFormat="1" applyFont="1" applyAlignment="1">
      <alignment horizontal="center" vertical="center"/>
    </xf>
    <xf numFmtId="2" fontId="11" fillId="0" borderId="0" xfId="0" applyNumberFormat="1" applyFont="1" applyBorder="1" applyAlignment="1">
      <alignment horizontal="center" vertical="center"/>
    </xf>
    <xf numFmtId="49" fontId="7" fillId="0" borderId="0" xfId="0" applyNumberFormat="1" applyFont="1" applyAlignment="1">
      <alignment horizontal="center" vertical="center"/>
    </xf>
    <xf numFmtId="0" fontId="7" fillId="2" borderId="0" xfId="0" applyFont="1" applyFill="1" applyAlignment="1">
      <alignment horizontal="center" vertical="top" wrapText="1"/>
    </xf>
    <xf numFmtId="0" fontId="6" fillId="2" borderId="0" xfId="0" applyFont="1" applyFill="1" applyAlignment="1">
      <alignment horizontal="center" vertical="center"/>
    </xf>
    <xf numFmtId="165" fontId="6" fillId="2" borderId="0" xfId="1" applyFont="1" applyFill="1" applyAlignment="1">
      <alignment horizontal="center" vertical="center"/>
    </xf>
    <xf numFmtId="0" fontId="13" fillId="0" borderId="0" xfId="0" applyFont="1" applyAlignment="1">
      <alignment horizontal="center"/>
    </xf>
    <xf numFmtId="0" fontId="13" fillId="0" borderId="0" xfId="0" applyFont="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L34"/>
  <sheetViews>
    <sheetView showGridLines="0" tabSelected="1" workbookViewId="0">
      <pane ySplit="3" topLeftCell="A13" activePane="bottomLeft" state="frozen"/>
      <selection pane="bottomLeft" activeCell="L21" sqref="L21"/>
    </sheetView>
  </sheetViews>
  <sheetFormatPr defaultColWidth="9.109375" defaultRowHeight="12" x14ac:dyDescent="0.3"/>
  <cols>
    <col min="1" max="1" width="2.88671875" style="60" customWidth="1"/>
    <col min="2" max="2" width="24.5546875" style="60" customWidth="1"/>
    <col min="3" max="3" width="29.44140625" style="60" customWidth="1"/>
    <col min="4" max="4" width="10" style="63" customWidth="1"/>
    <col min="5" max="5" width="11.33203125" style="63" customWidth="1"/>
    <col min="6" max="6" width="19" style="63" customWidth="1"/>
    <col min="7" max="7" width="11.5546875" style="63" customWidth="1"/>
    <col min="8" max="8" width="11" style="63" customWidth="1"/>
    <col min="9" max="9" width="7.88671875" style="65" customWidth="1"/>
    <col min="10" max="10" width="8.5546875" style="65" customWidth="1"/>
    <col min="11" max="11" width="16.44140625" style="63" customWidth="1"/>
    <col min="12" max="12" width="175" style="60" customWidth="1"/>
    <col min="13" max="16384" width="9.109375" style="60"/>
  </cols>
  <sheetData>
    <row r="2" spans="2:12" s="61" customFormat="1" ht="41.25" customHeight="1" x14ac:dyDescent="0.3">
      <c r="B2" s="131" t="s">
        <v>130</v>
      </c>
      <c r="C2" s="141" t="s">
        <v>131</v>
      </c>
      <c r="D2" s="133" t="s">
        <v>132</v>
      </c>
      <c r="E2" s="133"/>
      <c r="F2" s="133" t="s">
        <v>135</v>
      </c>
      <c r="G2" s="133" t="s">
        <v>136</v>
      </c>
      <c r="H2" s="133"/>
      <c r="I2" s="132" t="s">
        <v>139</v>
      </c>
      <c r="J2" s="132"/>
      <c r="K2" s="133" t="s">
        <v>140</v>
      </c>
      <c r="L2" s="131" t="s">
        <v>177</v>
      </c>
    </row>
    <row r="3" spans="2:12" s="61" customFormat="1" ht="27" customHeight="1" x14ac:dyDescent="0.3">
      <c r="B3" s="131"/>
      <c r="C3" s="142"/>
      <c r="D3" s="90" t="s">
        <v>133</v>
      </c>
      <c r="E3" s="90" t="s">
        <v>134</v>
      </c>
      <c r="F3" s="133"/>
      <c r="G3" s="90" t="s">
        <v>137</v>
      </c>
      <c r="H3" s="90" t="s">
        <v>138</v>
      </c>
      <c r="I3" s="90" t="s">
        <v>125</v>
      </c>
      <c r="J3" s="90" t="s">
        <v>124</v>
      </c>
      <c r="K3" s="133"/>
      <c r="L3" s="131"/>
    </row>
    <row r="4" spans="2:12" x14ac:dyDescent="0.3">
      <c r="B4" s="78" t="s">
        <v>141</v>
      </c>
      <c r="C4" s="143" t="s">
        <v>128</v>
      </c>
      <c r="D4" s="104">
        <v>10</v>
      </c>
      <c r="E4" s="104">
        <v>30</v>
      </c>
      <c r="F4" s="91">
        <v>152</v>
      </c>
      <c r="G4" s="104">
        <f>'ჯეო მაინინგი.'!N21</f>
        <v>154.81333333333333</v>
      </c>
      <c r="H4" s="104">
        <f>'ჯეო მაინინგი.'!N8</f>
        <v>156.88266666666667</v>
      </c>
      <c r="I4" s="105" t="str">
        <f>'ჯეო მაინინგი.'!P21</f>
        <v>1:54</v>
      </c>
      <c r="J4" s="105" t="str">
        <f>'ჯეო მაინინგი.'!P8</f>
        <v>1:31</v>
      </c>
      <c r="K4" s="104">
        <v>10</v>
      </c>
      <c r="L4" s="78"/>
    </row>
    <row r="5" spans="2:12" ht="15" customHeight="1" x14ac:dyDescent="0.3">
      <c r="B5" s="78" t="s">
        <v>142</v>
      </c>
      <c r="C5" s="144"/>
      <c r="D5" s="104">
        <v>10</v>
      </c>
      <c r="E5" s="104">
        <v>30</v>
      </c>
      <c r="F5" s="91">
        <v>171</v>
      </c>
      <c r="G5" s="104">
        <f>'მნ.რიჩი.'!N21</f>
        <v>173.81333333333333</v>
      </c>
      <c r="H5" s="104">
        <f>'მნ.რიჩი.'!N8</f>
        <v>175.88266666666667</v>
      </c>
      <c r="I5" s="105" t="str">
        <f>'მნ.რიჩი.'!P21</f>
        <v>1:61</v>
      </c>
      <c r="J5" s="105" t="str">
        <f>'მნ.რიჩი.'!P8</f>
        <v>1:35</v>
      </c>
      <c r="K5" s="104">
        <v>10</v>
      </c>
      <c r="L5" s="78"/>
    </row>
    <row r="6" spans="2:12" ht="15" customHeight="1" x14ac:dyDescent="0.3">
      <c r="B6" s="78" t="s">
        <v>143</v>
      </c>
      <c r="C6" s="145"/>
      <c r="D6" s="104">
        <v>12.5</v>
      </c>
      <c r="E6" s="104">
        <v>25</v>
      </c>
      <c r="F6" s="91"/>
      <c r="G6" s="104"/>
      <c r="H6" s="104"/>
      <c r="I6" s="106"/>
      <c r="J6" s="106"/>
      <c r="K6" s="104">
        <v>9</v>
      </c>
      <c r="L6" s="78" t="s">
        <v>178</v>
      </c>
    </row>
    <row r="7" spans="2:12" x14ac:dyDescent="0.3">
      <c r="B7" s="79" t="s">
        <v>144</v>
      </c>
      <c r="C7" s="146" t="s">
        <v>169</v>
      </c>
      <c r="D7" s="107">
        <v>7</v>
      </c>
      <c r="E7" s="107">
        <v>30</v>
      </c>
      <c r="F7" s="92">
        <v>152</v>
      </c>
      <c r="G7" s="107">
        <f>მანგა!N21</f>
        <v>153.68</v>
      </c>
      <c r="H7" s="107">
        <f>მანგა!N8</f>
        <v>156.88266666666667</v>
      </c>
      <c r="I7" s="108" t="str">
        <f>მანგა!P21</f>
        <v>1:90</v>
      </c>
      <c r="J7" s="108" t="str">
        <f>მანგა!P8</f>
        <v>1:31</v>
      </c>
      <c r="K7" s="107">
        <v>10</v>
      </c>
      <c r="L7" s="79"/>
    </row>
    <row r="8" spans="2:12" ht="15" customHeight="1" x14ac:dyDescent="0.3">
      <c r="B8" s="79" t="s">
        <v>145</v>
      </c>
      <c r="C8" s="147"/>
      <c r="D8" s="107">
        <v>7</v>
      </c>
      <c r="E8" s="107">
        <v>25</v>
      </c>
      <c r="F8" s="92">
        <v>152</v>
      </c>
      <c r="G8" s="107">
        <f>ლეგო!N21</f>
        <v>153.68</v>
      </c>
      <c r="H8" s="107">
        <f>ლეგო!N14</f>
        <v>156.34</v>
      </c>
      <c r="I8" s="108" t="str">
        <f>ლეგო!P21</f>
        <v>1:90</v>
      </c>
      <c r="J8" s="108" t="str">
        <f>ლეგო!P14</f>
        <v>1:35</v>
      </c>
      <c r="K8" s="107">
        <v>10</v>
      </c>
      <c r="L8" s="79"/>
    </row>
    <row r="9" spans="2:12" ht="15" customHeight="1" x14ac:dyDescent="0.3">
      <c r="B9" s="79" t="s">
        <v>146</v>
      </c>
      <c r="C9" s="147"/>
      <c r="D9" s="107">
        <v>7</v>
      </c>
      <c r="E9" s="107">
        <v>30</v>
      </c>
      <c r="F9" s="92">
        <v>152</v>
      </c>
      <c r="G9" s="107">
        <f>ანდრო!N21</f>
        <v>153.68</v>
      </c>
      <c r="H9" s="107">
        <f>ანდრო!N8</f>
        <v>156.88266666666667</v>
      </c>
      <c r="I9" s="108" t="str">
        <f>ანდრო!P21</f>
        <v>1:90</v>
      </c>
      <c r="J9" s="108" t="str">
        <f>ანდრო!P8</f>
        <v>1:31</v>
      </c>
      <c r="K9" s="107">
        <v>10</v>
      </c>
      <c r="L9" s="79"/>
    </row>
    <row r="10" spans="2:12" ht="15" customHeight="1" x14ac:dyDescent="0.3">
      <c r="B10" s="79" t="s">
        <v>147</v>
      </c>
      <c r="C10" s="147"/>
      <c r="D10" s="107">
        <v>7</v>
      </c>
      <c r="E10" s="107">
        <v>25</v>
      </c>
      <c r="F10" s="92">
        <v>152</v>
      </c>
      <c r="G10" s="107">
        <f>'ტექნო 2016.'!N21</f>
        <v>153.68</v>
      </c>
      <c r="H10" s="107">
        <f>'ტექნო 2016.'!N8</f>
        <v>155.88666666666666</v>
      </c>
      <c r="I10" s="108" t="s">
        <v>35</v>
      </c>
      <c r="J10" s="109" t="s">
        <v>106</v>
      </c>
      <c r="K10" s="107">
        <v>10</v>
      </c>
      <c r="L10" s="79"/>
    </row>
    <row r="11" spans="2:12" ht="15" customHeight="1" x14ac:dyDescent="0.3">
      <c r="B11" s="79" t="s">
        <v>148</v>
      </c>
      <c r="C11" s="148"/>
      <c r="D11" s="107">
        <v>20</v>
      </c>
      <c r="E11" s="107">
        <v>35</v>
      </c>
      <c r="F11" s="92"/>
      <c r="G11" s="107"/>
      <c r="H11" s="107"/>
      <c r="I11" s="109"/>
      <c r="J11" s="109"/>
      <c r="K11" s="107">
        <v>10</v>
      </c>
      <c r="L11" s="79" t="s">
        <v>179</v>
      </c>
    </row>
    <row r="12" spans="2:12" x14ac:dyDescent="0.3">
      <c r="B12" s="80" t="s">
        <v>149</v>
      </c>
      <c r="C12" s="80" t="s">
        <v>170</v>
      </c>
      <c r="D12" s="110">
        <v>7</v>
      </c>
      <c r="E12" s="110">
        <v>20</v>
      </c>
      <c r="F12" s="93">
        <v>144</v>
      </c>
      <c r="G12" s="110">
        <f>პარტნიორი.!N21</f>
        <v>145.68</v>
      </c>
      <c r="H12" s="110">
        <f>პარტნიორი.!N8</f>
        <v>148.61333333333334</v>
      </c>
      <c r="I12" s="111" t="str">
        <f>პარტნიორი.!P21</f>
        <v>1:85,5</v>
      </c>
      <c r="J12" s="111" t="str">
        <f>პარტნიორი.!P8</f>
        <v>1:31</v>
      </c>
      <c r="K12" s="110">
        <v>10</v>
      </c>
      <c r="L12" s="80"/>
    </row>
    <row r="13" spans="2:12" x14ac:dyDescent="0.3">
      <c r="B13" s="81" t="s">
        <v>150</v>
      </c>
      <c r="C13" s="149" t="s">
        <v>171</v>
      </c>
      <c r="D13" s="112">
        <v>11</v>
      </c>
      <c r="E13" s="112">
        <v>28</v>
      </c>
      <c r="F13" s="94">
        <v>153.9</v>
      </c>
      <c r="G13" s="112">
        <f>მგტ!N21</f>
        <v>157.02592592592595</v>
      </c>
      <c r="H13" s="112">
        <f>მგტ!N8</f>
        <v>160.30740740740742</v>
      </c>
      <c r="I13" s="95" t="str">
        <f>მგტ!P21</f>
        <v>1:49</v>
      </c>
      <c r="J13" s="95" t="str">
        <f>მგტ!P8</f>
        <v>1:26,7</v>
      </c>
      <c r="K13" s="112">
        <v>9</v>
      </c>
      <c r="L13" s="81"/>
    </row>
    <row r="14" spans="2:12" ht="15" customHeight="1" x14ac:dyDescent="0.3">
      <c r="B14" s="81" t="s">
        <v>151</v>
      </c>
      <c r="C14" s="150"/>
      <c r="D14" s="112">
        <v>22.2</v>
      </c>
      <c r="E14" s="112">
        <v>56</v>
      </c>
      <c r="F14" s="94">
        <v>522</v>
      </c>
      <c r="G14" s="112">
        <f>ბუკაპი!N21</f>
        <v>528.38222222222214</v>
      </c>
      <c r="H14" s="112">
        <f>ბუკაპი!N14</f>
        <v>534.37037037037032</v>
      </c>
      <c r="I14" s="95" t="s">
        <v>111</v>
      </c>
      <c r="J14" s="95" t="s">
        <v>7</v>
      </c>
      <c r="K14" s="112">
        <v>9</v>
      </c>
      <c r="L14" s="81"/>
    </row>
    <row r="15" spans="2:12" ht="15" customHeight="1" x14ac:dyDescent="0.3">
      <c r="B15" s="81" t="s">
        <v>152</v>
      </c>
      <c r="C15" s="150"/>
      <c r="D15" s="112">
        <v>22.2</v>
      </c>
      <c r="E15" s="112">
        <v>70</v>
      </c>
      <c r="F15" s="94"/>
      <c r="G15" s="112"/>
      <c r="H15" s="112"/>
      <c r="I15" s="113"/>
      <c r="J15" s="113"/>
      <c r="K15" s="112">
        <v>9</v>
      </c>
      <c r="L15" s="81" t="s">
        <v>180</v>
      </c>
    </row>
    <row r="16" spans="2:12" ht="15" customHeight="1" x14ac:dyDescent="0.3">
      <c r="B16" s="81" t="s">
        <v>153</v>
      </c>
      <c r="C16" s="150"/>
      <c r="D16" s="112">
        <v>13</v>
      </c>
      <c r="E16" s="112">
        <v>24.5</v>
      </c>
      <c r="F16" s="95" t="s">
        <v>126</v>
      </c>
      <c r="G16" s="95" t="s">
        <v>127</v>
      </c>
      <c r="H16" s="95"/>
      <c r="I16" s="95"/>
      <c r="J16" s="95" t="s">
        <v>32</v>
      </c>
      <c r="K16" s="112">
        <v>9</v>
      </c>
      <c r="L16" s="81" t="s">
        <v>181</v>
      </c>
    </row>
    <row r="17" spans="2:12" ht="15" customHeight="1" x14ac:dyDescent="0.3">
      <c r="B17" s="81" t="s">
        <v>154</v>
      </c>
      <c r="C17" s="150"/>
      <c r="D17" s="112">
        <v>20</v>
      </c>
      <c r="E17" s="112">
        <v>35</v>
      </c>
      <c r="F17" s="94">
        <v>154</v>
      </c>
      <c r="G17" s="112">
        <v>160.1</v>
      </c>
      <c r="H17" s="112">
        <v>162</v>
      </c>
      <c r="I17" s="95" t="str">
        <f>ლეჟუბანი!P21</f>
        <v>1:26</v>
      </c>
      <c r="J17" s="95" t="str">
        <f>ლეჟუბანი!P8</f>
        <v>1:19,5</v>
      </c>
      <c r="K17" s="112">
        <v>10</v>
      </c>
      <c r="L17" s="81"/>
    </row>
    <row r="18" spans="2:12" ht="15" customHeight="1" x14ac:dyDescent="0.3">
      <c r="B18" s="81" t="s">
        <v>155</v>
      </c>
      <c r="C18" s="150"/>
      <c r="D18" s="112">
        <v>20</v>
      </c>
      <c r="E18" s="112">
        <v>35</v>
      </c>
      <c r="F18" s="94">
        <v>153.9</v>
      </c>
      <c r="G18" s="112">
        <f>'მნ პლიუსი'!N21</f>
        <v>160.07333333333332</v>
      </c>
      <c r="H18" s="112">
        <f>'მნ პლიუსი'!N8</f>
        <v>161.97333333333333</v>
      </c>
      <c r="I18" s="95" t="s">
        <v>30</v>
      </c>
      <c r="J18" s="95" t="s">
        <v>67</v>
      </c>
      <c r="K18" s="112">
        <v>10</v>
      </c>
      <c r="L18" s="81"/>
    </row>
    <row r="19" spans="2:12" ht="15" customHeight="1" x14ac:dyDescent="0.3">
      <c r="B19" s="81" t="s">
        <v>156</v>
      </c>
      <c r="C19" s="151"/>
      <c r="D19" s="112">
        <v>15</v>
      </c>
      <c r="E19" s="112">
        <v>30</v>
      </c>
      <c r="F19" s="94">
        <v>153.9</v>
      </c>
      <c r="G19" s="112">
        <f>'აგო 2019'!N21</f>
        <v>158.12</v>
      </c>
      <c r="H19" s="112">
        <f>'აგო 2019'!N8</f>
        <v>160.82</v>
      </c>
      <c r="I19" s="95" t="s">
        <v>23</v>
      </c>
      <c r="J19" s="95" t="s">
        <v>62</v>
      </c>
      <c r="K19" s="112">
        <v>10</v>
      </c>
      <c r="L19" s="81"/>
    </row>
    <row r="20" spans="2:12" x14ac:dyDescent="0.3">
      <c r="B20" s="82" t="s">
        <v>157</v>
      </c>
      <c r="C20" s="82" t="s">
        <v>172</v>
      </c>
      <c r="D20" s="114">
        <v>6.3</v>
      </c>
      <c r="E20" s="114">
        <v>25</v>
      </c>
      <c r="F20" s="96">
        <v>161.5</v>
      </c>
      <c r="G20" s="114">
        <f>არაგვი!N21</f>
        <v>163.25833333333333</v>
      </c>
      <c r="H20" s="114">
        <f>არაგვი!N8</f>
        <v>167.26666666666668</v>
      </c>
      <c r="I20" s="115" t="str">
        <f>არაგვი!P21</f>
        <v>1:92</v>
      </c>
      <c r="J20" s="115" t="str">
        <f>არაგვი!P8</f>
        <v>1:28</v>
      </c>
      <c r="K20" s="114">
        <v>8</v>
      </c>
      <c r="L20" s="82"/>
    </row>
    <row r="21" spans="2:12" x14ac:dyDescent="0.3">
      <c r="B21" s="83" t="s">
        <v>158</v>
      </c>
      <c r="C21" s="134" t="s">
        <v>173</v>
      </c>
      <c r="D21" s="116">
        <v>12</v>
      </c>
      <c r="E21" s="116">
        <v>30</v>
      </c>
      <c r="F21" s="97">
        <v>229</v>
      </c>
      <c r="G21" s="116">
        <f>ბარჯა!N21</f>
        <v>232.23000000000002</v>
      </c>
      <c r="H21" s="116">
        <f>ბარჯა!N8</f>
        <v>235.76999999999998</v>
      </c>
      <c r="I21" s="117" t="str">
        <f>ბარჯა!P21</f>
        <v>1:67</v>
      </c>
      <c r="J21" s="117" t="str">
        <f>ბარჯა!P8</f>
        <v>1:33</v>
      </c>
      <c r="K21" s="116">
        <v>10</v>
      </c>
      <c r="L21" s="83" t="s">
        <v>226</v>
      </c>
    </row>
    <row r="22" spans="2:12" ht="15" customHeight="1" x14ac:dyDescent="0.3">
      <c r="B22" s="83" t="s">
        <v>159</v>
      </c>
      <c r="C22" s="135"/>
      <c r="D22" s="116">
        <v>10</v>
      </c>
      <c r="E22" s="116">
        <v>15</v>
      </c>
      <c r="F22" s="97">
        <f>ტრანსპორტი!S8</f>
        <v>144</v>
      </c>
      <c r="G22" s="116">
        <f>ტრანსპორტი!N21</f>
        <v>146.89166666666668</v>
      </c>
      <c r="H22" s="116">
        <f>ტრანსპორტი!N8</f>
        <v>147.46</v>
      </c>
      <c r="I22" s="117" t="str">
        <f>ტრანსპორტი!P21</f>
        <v>1:49,8</v>
      </c>
      <c r="J22" s="117" t="str">
        <f>ტრანსპორტი!P8</f>
        <v>1:41,5</v>
      </c>
      <c r="K22" s="116">
        <v>8</v>
      </c>
      <c r="L22" s="83"/>
    </row>
    <row r="23" spans="2:12" x14ac:dyDescent="0.3">
      <c r="B23" s="84" t="s">
        <v>160</v>
      </c>
      <c r="C23" s="136" t="s">
        <v>174</v>
      </c>
      <c r="D23" s="118">
        <v>17</v>
      </c>
      <c r="E23" s="118">
        <v>33</v>
      </c>
      <c r="F23" s="98">
        <v>180</v>
      </c>
      <c r="G23" s="118">
        <f>'მ. გრუპი'!N21</f>
        <v>184.6888888888889</v>
      </c>
      <c r="H23" s="118">
        <f>'მ. გრუპი'!N14</f>
        <v>187.42222222222222</v>
      </c>
      <c r="I23" s="119" t="s">
        <v>56</v>
      </c>
      <c r="J23" s="119" t="s">
        <v>84</v>
      </c>
      <c r="K23" s="118">
        <v>9</v>
      </c>
      <c r="L23" s="84" t="s">
        <v>182</v>
      </c>
    </row>
    <row r="24" spans="2:12" ht="15" customHeight="1" x14ac:dyDescent="0.3">
      <c r="B24" s="84" t="s">
        <v>161</v>
      </c>
      <c r="C24" s="137"/>
      <c r="D24" s="118">
        <v>15</v>
      </c>
      <c r="E24" s="118">
        <v>30</v>
      </c>
      <c r="F24" s="98"/>
      <c r="G24" s="118"/>
      <c r="H24" s="118"/>
      <c r="I24" s="120"/>
      <c r="J24" s="120"/>
      <c r="K24" s="118">
        <v>9</v>
      </c>
      <c r="L24" s="84" t="s">
        <v>184</v>
      </c>
    </row>
    <row r="25" spans="2:12" x14ac:dyDescent="0.3">
      <c r="B25" s="85" t="s">
        <v>162</v>
      </c>
      <c r="C25" s="76" t="s">
        <v>175</v>
      </c>
      <c r="D25" s="121">
        <v>10</v>
      </c>
      <c r="E25" s="121">
        <v>15</v>
      </c>
      <c r="F25" s="99">
        <v>180</v>
      </c>
      <c r="G25" s="121">
        <f>ბაჩანა!N21</f>
        <v>182.81333333333333</v>
      </c>
      <c r="H25" s="121">
        <f>ბაჩანა!N8</f>
        <v>183.59666666666666</v>
      </c>
      <c r="I25" s="122" t="str">
        <f>ბაჩანა!P21</f>
        <v>1:64</v>
      </c>
      <c r="J25" s="122" t="str">
        <f>ბაჩანა!P8</f>
        <v>1:50</v>
      </c>
      <c r="K25" s="121">
        <v>8</v>
      </c>
      <c r="L25" s="85" t="s">
        <v>183</v>
      </c>
    </row>
    <row r="26" spans="2:12" x14ac:dyDescent="0.3">
      <c r="B26" s="86" t="s">
        <v>163</v>
      </c>
      <c r="C26" s="77" t="s">
        <v>176</v>
      </c>
      <c r="D26" s="123">
        <v>13</v>
      </c>
      <c r="E26" s="123">
        <v>28</v>
      </c>
      <c r="F26" s="100">
        <v>180</v>
      </c>
      <c r="G26" s="123">
        <f>მალკო!N21</f>
        <v>183.81629629629629</v>
      </c>
      <c r="H26" s="123">
        <f>მალკო!N14</f>
        <v>186.7925925925926</v>
      </c>
      <c r="I26" s="124" t="str">
        <f>მალკო!P21</f>
        <v>1:47,2</v>
      </c>
      <c r="J26" s="124" t="str">
        <f>მალკო!P14</f>
        <v>1:26,5</v>
      </c>
      <c r="K26" s="123">
        <v>9</v>
      </c>
      <c r="L26" s="86" t="s">
        <v>183</v>
      </c>
    </row>
    <row r="27" spans="2:12" x14ac:dyDescent="0.3">
      <c r="B27" s="87" t="s">
        <v>164</v>
      </c>
      <c r="C27" s="138" t="s">
        <v>129</v>
      </c>
      <c r="D27" s="125">
        <v>11.1</v>
      </c>
      <c r="E27" s="125">
        <v>22.2</v>
      </c>
      <c r="F27" s="101">
        <v>180</v>
      </c>
      <c r="G27" s="125">
        <f>შმაგურა!N21</f>
        <v>183.12592592592594</v>
      </c>
      <c r="H27" s="125">
        <f>შმაგურა!N14</f>
        <v>185.55555555555554</v>
      </c>
      <c r="I27" s="126" t="str">
        <f>შმაგურა!P21</f>
        <v>1:57,6</v>
      </c>
      <c r="J27" s="126" t="str">
        <f>შმაგურა!P14</f>
        <v>1:32,4</v>
      </c>
      <c r="K27" s="125">
        <v>9</v>
      </c>
      <c r="L27" s="87" t="s">
        <v>183</v>
      </c>
    </row>
    <row r="28" spans="2:12" ht="15" customHeight="1" x14ac:dyDescent="0.3">
      <c r="B28" s="87" t="s">
        <v>165</v>
      </c>
      <c r="C28" s="139"/>
      <c r="D28" s="125">
        <v>7</v>
      </c>
      <c r="E28" s="125">
        <v>11</v>
      </c>
      <c r="F28" s="101">
        <v>85</v>
      </c>
      <c r="G28" s="125">
        <f>'ბლეკ  გოლდენი'!N21</f>
        <v>86.87555555555555</v>
      </c>
      <c r="H28" s="125">
        <f>'ბლეკ  გოლდენი'!N14</f>
        <v>88.081481481481489</v>
      </c>
      <c r="I28" s="126" t="s">
        <v>93</v>
      </c>
      <c r="J28" s="126" t="s">
        <v>91</v>
      </c>
      <c r="K28" s="125">
        <v>9</v>
      </c>
      <c r="L28" s="87" t="s">
        <v>183</v>
      </c>
    </row>
    <row r="29" spans="2:12" ht="15" customHeight="1" x14ac:dyDescent="0.3">
      <c r="B29" s="87" t="s">
        <v>166</v>
      </c>
      <c r="C29" s="140"/>
      <c r="D29" s="125">
        <v>11.1</v>
      </c>
      <c r="E29" s="125">
        <v>22.2</v>
      </c>
      <c r="F29" s="101">
        <v>180</v>
      </c>
      <c r="G29" s="125">
        <f>ჰარიმანი!N21</f>
        <v>183.12592592592594</v>
      </c>
      <c r="H29" s="125">
        <f>ჰარიმანი!N8</f>
        <v>185.12592592592594</v>
      </c>
      <c r="I29" s="126" t="str">
        <f>ჰარიმანი!P21</f>
        <v>1:57,6</v>
      </c>
      <c r="J29" s="126" t="str">
        <f>ჰარიმანი!P8</f>
        <v>1:35</v>
      </c>
      <c r="K29" s="125">
        <v>9</v>
      </c>
      <c r="L29" s="87" t="s">
        <v>183</v>
      </c>
    </row>
    <row r="30" spans="2:12" x14ac:dyDescent="0.3">
      <c r="B30" s="88" t="s">
        <v>167</v>
      </c>
      <c r="C30" s="88"/>
      <c r="D30" s="127">
        <v>6.3</v>
      </c>
      <c r="E30" s="127">
        <v>12.5</v>
      </c>
      <c r="F30" s="102">
        <v>100</v>
      </c>
      <c r="G30" s="127">
        <f>ლალი!N21</f>
        <v>101.83166666666666</v>
      </c>
      <c r="H30" s="127">
        <f>ლალი!N8</f>
        <v>102.88333333333334</v>
      </c>
      <c r="I30" s="128" t="str">
        <f>ლალი!P21</f>
        <v>1:54</v>
      </c>
      <c r="J30" s="128" t="str">
        <f>ლალი!P8</f>
        <v>1:34</v>
      </c>
      <c r="K30" s="127">
        <v>8</v>
      </c>
      <c r="L30" s="88" t="s">
        <v>183</v>
      </c>
    </row>
    <row r="31" spans="2:12" ht="38.25" customHeight="1" x14ac:dyDescent="0.3">
      <c r="B31" s="88" t="s">
        <v>168</v>
      </c>
      <c r="C31" s="88"/>
      <c r="D31" s="127">
        <v>15</v>
      </c>
      <c r="E31" s="127">
        <v>40</v>
      </c>
      <c r="F31" s="103"/>
      <c r="G31" s="129"/>
      <c r="H31" s="129"/>
      <c r="I31" s="130"/>
      <c r="J31" s="130"/>
      <c r="K31" s="127">
        <v>10</v>
      </c>
      <c r="L31" s="89" t="s">
        <v>185</v>
      </c>
    </row>
    <row r="32" spans="2:12" x14ac:dyDescent="0.3">
      <c r="B32" s="62"/>
      <c r="C32" s="62"/>
      <c r="D32" s="64"/>
      <c r="E32" s="64"/>
      <c r="F32" s="67"/>
      <c r="G32" s="64"/>
      <c r="H32" s="64"/>
      <c r="I32" s="66"/>
      <c r="J32" s="66"/>
      <c r="K32" s="64"/>
      <c r="L32" s="62"/>
    </row>
    <row r="33" spans="2:12" x14ac:dyDescent="0.3">
      <c r="B33" s="62"/>
      <c r="C33" s="62"/>
      <c r="D33" s="64"/>
      <c r="E33" s="64"/>
      <c r="F33" s="67"/>
      <c r="G33" s="64"/>
      <c r="H33" s="64"/>
      <c r="I33" s="66"/>
      <c r="J33" s="66"/>
      <c r="K33" s="64"/>
      <c r="L33" s="62"/>
    </row>
    <row r="34" spans="2:12" x14ac:dyDescent="0.3">
      <c r="B34" s="62"/>
      <c r="C34" s="62"/>
      <c r="D34" s="64"/>
      <c r="E34" s="64"/>
      <c r="F34" s="67"/>
      <c r="G34" s="64"/>
      <c r="H34" s="64"/>
      <c r="I34" s="66"/>
      <c r="J34" s="66"/>
      <c r="K34" s="64"/>
      <c r="L34" s="62"/>
    </row>
  </sheetData>
  <mergeCells count="14">
    <mergeCell ref="C21:C22"/>
    <mergeCell ref="C23:C24"/>
    <mergeCell ref="C27:C29"/>
    <mergeCell ref="C2:C3"/>
    <mergeCell ref="C4:C6"/>
    <mergeCell ref="C7:C11"/>
    <mergeCell ref="C13:C19"/>
    <mergeCell ref="L2:L3"/>
    <mergeCell ref="I2:J2"/>
    <mergeCell ref="D2:E2"/>
    <mergeCell ref="G2:H2"/>
    <mergeCell ref="B2:B3"/>
    <mergeCell ref="F2:F3"/>
    <mergeCell ref="K2:K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21"/>
  <sheetViews>
    <sheetView topLeftCell="B1" workbookViewId="0">
      <selection activeCell="B3" sqref="B3:J3"/>
    </sheetView>
  </sheetViews>
  <sheetFormatPr defaultColWidth="8.88671875" defaultRowHeight="13.8" x14ac:dyDescent="0.3"/>
  <cols>
    <col min="1" max="1" width="1.88671875" style="30" customWidth="1"/>
    <col min="2" max="2" width="4.109375" style="30" customWidth="1"/>
    <col min="3" max="3" width="14.44140625" style="30" customWidth="1"/>
    <col min="4" max="4" width="10.33203125" style="30" customWidth="1"/>
    <col min="5" max="5" width="6.33203125" style="30" customWidth="1"/>
    <col min="6" max="6" width="10.6640625" style="30" customWidth="1"/>
    <col min="7" max="7" width="8.5546875" style="30" customWidth="1"/>
    <col min="8" max="8" width="9.88671875" style="30" customWidth="1"/>
    <col min="9" max="9" width="10.88671875" style="30" customWidth="1"/>
    <col min="10" max="10" width="11.44140625" style="30" customWidth="1"/>
    <col min="11" max="11" width="15.6640625" style="30" customWidth="1"/>
    <col min="12" max="12" width="16.88671875" style="30" customWidth="1"/>
    <col min="13" max="13" width="11.44140625" style="30" customWidth="1"/>
    <col min="14" max="14" width="14.44140625" style="30" customWidth="1"/>
    <col min="15" max="15" width="16.6640625" style="30" customWidth="1"/>
    <col min="16" max="16" width="11.44140625" style="30" customWidth="1"/>
    <col min="17" max="17" width="7.33203125" style="30" customWidth="1"/>
    <col min="18" max="16384" width="8.88671875" style="30"/>
  </cols>
  <sheetData>
    <row r="1" spans="2:24" ht="15.6" customHeight="1" x14ac:dyDescent="0.3"/>
    <row r="2" spans="2:24" ht="20.399999999999999" customHeight="1" x14ac:dyDescent="0.3">
      <c r="B2" s="155"/>
      <c r="C2" s="155"/>
      <c r="D2" s="155"/>
      <c r="E2" s="155"/>
      <c r="F2" s="155"/>
      <c r="G2" s="155"/>
      <c r="H2" s="155"/>
      <c r="I2" s="155"/>
      <c r="J2" s="155"/>
      <c r="K2" s="31"/>
      <c r="L2" s="31"/>
      <c r="M2" s="31"/>
      <c r="N2" s="31"/>
      <c r="O2" s="31"/>
      <c r="P2" s="31"/>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250</v>
      </c>
      <c r="E5" s="4">
        <v>15</v>
      </c>
      <c r="F5" s="3">
        <f>D5*(100-E5)/100</f>
        <v>212.5</v>
      </c>
      <c r="G5" s="4">
        <v>20</v>
      </c>
      <c r="H5" s="3">
        <f>G5*F5/100</f>
        <v>42.5</v>
      </c>
      <c r="I5" s="3">
        <v>100</v>
      </c>
      <c r="J5" s="3">
        <v>100</v>
      </c>
      <c r="K5" s="9"/>
      <c r="L5" s="10"/>
      <c r="M5" s="10"/>
      <c r="N5" s="10"/>
      <c r="O5" s="10"/>
      <c r="P5" s="10"/>
      <c r="S5" s="160" t="s">
        <v>216</v>
      </c>
      <c r="T5" s="160"/>
      <c r="U5" s="160"/>
      <c r="V5" s="160"/>
      <c r="W5" s="160"/>
      <c r="X5" s="160"/>
    </row>
    <row r="6" spans="2:24" ht="25.2" customHeight="1" thickBot="1" x14ac:dyDescent="0.35">
      <c r="B6" s="5">
        <v>2</v>
      </c>
      <c r="C6" s="6" t="s">
        <v>189</v>
      </c>
      <c r="D6" s="5">
        <v>50</v>
      </c>
      <c r="E6" s="4">
        <v>12</v>
      </c>
      <c r="F6" s="4">
        <f t="shared" ref="F6:F7" si="0">D6*(100-E6)/100</f>
        <v>44</v>
      </c>
      <c r="G6" s="4">
        <v>37</v>
      </c>
      <c r="H6" s="4">
        <f t="shared" ref="H6:H7" si="1">G6*F6/100</f>
        <v>16.28</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100</v>
      </c>
      <c r="E7" s="4">
        <v>18</v>
      </c>
      <c r="F7" s="3">
        <f t="shared" si="0"/>
        <v>82</v>
      </c>
      <c r="G7" s="4">
        <v>18</v>
      </c>
      <c r="H7" s="3">
        <f t="shared" si="1"/>
        <v>14.76</v>
      </c>
      <c r="I7" s="3">
        <f>F7/F5*100</f>
        <v>38.588235294117645</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86.5</v>
      </c>
      <c r="G8" s="3">
        <f>H8/F8*100</f>
        <v>13.248554913294797</v>
      </c>
      <c r="H8" s="3">
        <f>H5-H6-H7</f>
        <v>11.459999999999999</v>
      </c>
      <c r="I8" s="3">
        <f>I5-I6-I7</f>
        <v>40.705882352941181</v>
      </c>
      <c r="J8" s="3">
        <f>J5-J6-J7</f>
        <v>26.964705882352945</v>
      </c>
      <c r="K8" s="19">
        <f>F8+S8*9</f>
        <v>1471.6000000000001</v>
      </c>
      <c r="L8" s="19">
        <f>F8/1.5+S8*9</f>
        <v>1442.7666666666669</v>
      </c>
      <c r="M8" s="19">
        <f>K8/9</f>
        <v>163.51111111111112</v>
      </c>
      <c r="N8" s="19">
        <f>L8/9</f>
        <v>160.30740740740742</v>
      </c>
      <c r="O8" s="32" t="s">
        <v>77</v>
      </c>
      <c r="P8" s="162" t="s">
        <v>78</v>
      </c>
      <c r="Q8" s="162"/>
      <c r="S8" s="160">
        <f>162*0.95</f>
        <v>153.9</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250</v>
      </c>
      <c r="E11" s="4">
        <v>15</v>
      </c>
      <c r="F11" s="3">
        <f>D11*(100-E11)/100</f>
        <v>212.5</v>
      </c>
      <c r="G11" s="4">
        <v>28</v>
      </c>
      <c r="H11" s="3">
        <f>G11*F11/100</f>
        <v>59.5</v>
      </c>
      <c r="I11" s="3">
        <v>100</v>
      </c>
      <c r="J11" s="3">
        <v>100</v>
      </c>
      <c r="K11" s="11"/>
      <c r="L11" s="12"/>
      <c r="M11" s="12"/>
      <c r="N11" s="12"/>
      <c r="O11" s="12"/>
      <c r="P11" s="12"/>
    </row>
    <row r="12" spans="2:24" ht="36.6" thickBot="1" x14ac:dyDescent="0.35">
      <c r="B12" s="5">
        <v>2</v>
      </c>
      <c r="C12" s="6" t="s">
        <v>189</v>
      </c>
      <c r="D12" s="5">
        <v>100</v>
      </c>
      <c r="E12" s="4">
        <v>12</v>
      </c>
      <c r="F12" s="4">
        <f t="shared" ref="F12:F13" si="2">D12*(100-E12)/100</f>
        <v>88</v>
      </c>
      <c r="G12" s="4">
        <v>40</v>
      </c>
      <c r="H12" s="4">
        <f t="shared" ref="H12:H13" si="3">G12*F12/100</f>
        <v>35.200000000000003</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55</v>
      </c>
      <c r="E13" s="4">
        <v>18</v>
      </c>
      <c r="F13" s="3">
        <f t="shared" si="2"/>
        <v>45.1</v>
      </c>
      <c r="G13" s="4">
        <v>22</v>
      </c>
      <c r="H13" s="3">
        <f t="shared" si="3"/>
        <v>9.9220000000000006</v>
      </c>
      <c r="I13" s="3">
        <f>F13/F11*100</f>
        <v>21.223529411764709</v>
      </c>
      <c r="J13" s="3">
        <f>H13/H11*100</f>
        <v>16.675630252100841</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79.400000000000006</v>
      </c>
      <c r="G14" s="3">
        <f>H14/F14*100</f>
        <v>18.108312342569263</v>
      </c>
      <c r="H14" s="3">
        <f>H11-H12-H13</f>
        <v>14.377999999999997</v>
      </c>
      <c r="I14" s="3">
        <f>I11-I12-I13</f>
        <v>37.364705882352936</v>
      </c>
      <c r="J14" s="3">
        <f>J11-J12-J13</f>
        <v>24.164705882352937</v>
      </c>
      <c r="K14" s="19">
        <f>F14+S8*9</f>
        <v>1464.5000000000002</v>
      </c>
      <c r="L14" s="19">
        <f>F14/1.5+S8*9</f>
        <v>1438.0333333333335</v>
      </c>
      <c r="M14" s="19">
        <f>K14/9</f>
        <v>162.72222222222226</v>
      </c>
      <c r="N14" s="19">
        <f>L14/9</f>
        <v>159.78148148148151</v>
      </c>
      <c r="O14" s="32" t="s">
        <v>58</v>
      </c>
      <c r="P14" s="162" t="s">
        <v>59</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100</v>
      </c>
      <c r="E18" s="4">
        <v>15</v>
      </c>
      <c r="F18" s="3">
        <f>D18*(100-E18)/100</f>
        <v>85</v>
      </c>
      <c r="G18" s="4">
        <v>22</v>
      </c>
      <c r="H18" s="3">
        <f>G18*F18/100</f>
        <v>18.7</v>
      </c>
      <c r="I18" s="3">
        <v>100</v>
      </c>
      <c r="J18" s="3">
        <v>100</v>
      </c>
      <c r="K18" s="11"/>
      <c r="L18" s="12"/>
      <c r="M18" s="12"/>
      <c r="N18" s="12"/>
      <c r="O18" s="12"/>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20</v>
      </c>
      <c r="E20" s="4">
        <v>18</v>
      </c>
      <c r="F20" s="3">
        <f t="shared" si="4"/>
        <v>16.399999999999999</v>
      </c>
      <c r="G20" s="4">
        <v>18</v>
      </c>
      <c r="H20" s="3">
        <f t="shared" si="5"/>
        <v>2.952</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42.2</v>
      </c>
      <c r="G21" s="3">
        <f>H21/F21*100</f>
        <v>14.796208530805686</v>
      </c>
      <c r="H21" s="3">
        <f>H18-H19-H20</f>
        <v>6.2439999999999998</v>
      </c>
      <c r="I21" s="3">
        <f>I18-I19-I20</f>
        <v>49.647058823529406</v>
      </c>
      <c r="J21" s="3">
        <f>J18-J19-J20</f>
        <v>33.390374331550802</v>
      </c>
      <c r="K21" s="19">
        <f>F21+S8*9</f>
        <v>1427.3000000000002</v>
      </c>
      <c r="L21" s="19">
        <f>F21/1.5+S8*9</f>
        <v>1413.2333333333336</v>
      </c>
      <c r="M21" s="19">
        <f>K21/9</f>
        <v>158.5888888888889</v>
      </c>
      <c r="N21" s="19">
        <f>L21/9</f>
        <v>157.02592592592595</v>
      </c>
      <c r="O21" s="32" t="s">
        <v>107</v>
      </c>
      <c r="P21" s="162" t="s">
        <v>54</v>
      </c>
      <c r="Q21" s="162"/>
    </row>
  </sheetData>
  <mergeCells count="20">
    <mergeCell ref="B9:J9"/>
    <mergeCell ref="T9:U9"/>
    <mergeCell ref="B2:J2"/>
    <mergeCell ref="B3:J3"/>
    <mergeCell ref="S4:X4"/>
    <mergeCell ref="S5:X5"/>
    <mergeCell ref="K6:Q6"/>
    <mergeCell ref="S6:X6"/>
    <mergeCell ref="V12:X12"/>
    <mergeCell ref="S13:X13"/>
    <mergeCell ref="S7:X7"/>
    <mergeCell ref="P8:Q8"/>
    <mergeCell ref="S8:T8"/>
    <mergeCell ref="P14:Q14"/>
    <mergeCell ref="B15:J16"/>
    <mergeCell ref="K19:Q19"/>
    <mergeCell ref="P21:Q21"/>
    <mergeCell ref="S10:U10"/>
    <mergeCell ref="K12:Q12"/>
    <mergeCell ref="S12:U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21"/>
  <sheetViews>
    <sheetView topLeftCell="B1" workbookViewId="0">
      <selection activeCell="B3" sqref="B3:J3"/>
    </sheetView>
  </sheetViews>
  <sheetFormatPr defaultColWidth="8.88671875" defaultRowHeight="13.8" x14ac:dyDescent="0.3"/>
  <cols>
    <col min="1" max="1" width="1.88671875" style="27" customWidth="1"/>
    <col min="2" max="2" width="4.109375" style="27" customWidth="1"/>
    <col min="3" max="3" width="14.44140625" style="27" customWidth="1"/>
    <col min="4" max="4" width="10.33203125" style="27" customWidth="1"/>
    <col min="5" max="5" width="6.33203125" style="27" customWidth="1"/>
    <col min="6" max="6" width="10.6640625" style="27" customWidth="1"/>
    <col min="7" max="7" width="8.5546875" style="27" customWidth="1"/>
    <col min="8" max="8" width="9.88671875" style="27" customWidth="1"/>
    <col min="9" max="9" width="10.88671875" style="27" customWidth="1"/>
    <col min="10" max="10" width="11.44140625" style="27" customWidth="1"/>
    <col min="11" max="11" width="15.6640625" style="27" customWidth="1"/>
    <col min="12" max="12" width="16.88671875" style="27" customWidth="1"/>
    <col min="13" max="13" width="11.44140625" style="27" customWidth="1"/>
    <col min="14" max="14" width="14.44140625" style="27" customWidth="1"/>
    <col min="15" max="15" width="16.6640625" style="27" customWidth="1"/>
    <col min="16" max="16" width="11.44140625" style="27" customWidth="1"/>
    <col min="17" max="17" width="7.33203125" style="27" customWidth="1"/>
    <col min="18" max="16384" width="8.88671875" style="27"/>
  </cols>
  <sheetData>
    <row r="1" spans="2:24" ht="15.6" customHeight="1" x14ac:dyDescent="0.3"/>
    <row r="2" spans="2:24" ht="20.399999999999999" customHeight="1" x14ac:dyDescent="0.3">
      <c r="B2" s="155"/>
      <c r="C2" s="155"/>
      <c r="D2" s="155"/>
      <c r="E2" s="155"/>
      <c r="F2" s="155"/>
      <c r="G2" s="155"/>
      <c r="H2" s="155"/>
      <c r="I2" s="155"/>
      <c r="J2" s="155"/>
      <c r="K2" s="28"/>
      <c r="L2" s="28"/>
      <c r="M2" s="28"/>
      <c r="N2" s="28"/>
      <c r="O2" s="28"/>
      <c r="P2" s="28"/>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500</v>
      </c>
      <c r="E5" s="4">
        <v>15</v>
      </c>
      <c r="F5" s="3">
        <f>D5*(100-E5)/100</f>
        <v>425</v>
      </c>
      <c r="G5" s="4">
        <v>20</v>
      </c>
      <c r="H5" s="3">
        <f>G5*F5/100</f>
        <v>85</v>
      </c>
      <c r="I5" s="3">
        <v>100</v>
      </c>
      <c r="J5" s="3">
        <v>100</v>
      </c>
      <c r="K5" s="9"/>
      <c r="L5" s="10"/>
      <c r="M5" s="10"/>
      <c r="N5" s="10"/>
      <c r="O5" s="10"/>
      <c r="P5" s="10"/>
      <c r="S5" s="160" t="s">
        <v>217</v>
      </c>
      <c r="T5" s="160"/>
      <c r="U5" s="160"/>
      <c r="V5" s="160"/>
      <c r="W5" s="160"/>
      <c r="X5" s="160"/>
    </row>
    <row r="6" spans="2:24" ht="25.2" customHeight="1" thickBot="1" x14ac:dyDescent="0.35">
      <c r="B6" s="5">
        <v>2</v>
      </c>
      <c r="C6" s="6" t="s">
        <v>189</v>
      </c>
      <c r="D6" s="5">
        <v>100</v>
      </c>
      <c r="E6" s="4">
        <v>12</v>
      </c>
      <c r="F6" s="4">
        <f t="shared" ref="F6:F7" si="0">D6*(100-E6)/100</f>
        <v>88</v>
      </c>
      <c r="G6" s="4">
        <v>37</v>
      </c>
      <c r="H6" s="4">
        <f t="shared" ref="H6:H7" si="1">G6*F6/100</f>
        <v>32.56</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230</v>
      </c>
      <c r="E7" s="4">
        <v>18</v>
      </c>
      <c r="F7" s="3">
        <f t="shared" si="0"/>
        <v>188.6</v>
      </c>
      <c r="G7" s="4">
        <v>18</v>
      </c>
      <c r="H7" s="3">
        <f t="shared" si="1"/>
        <v>33.948</v>
      </c>
      <c r="I7" s="3">
        <f>F7/F5*100</f>
        <v>44.376470588235293</v>
      </c>
      <c r="J7" s="3">
        <f>H7/H5*100</f>
        <v>39.938823529411764</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148.4</v>
      </c>
      <c r="G8" s="3">
        <f>H8/F8*100</f>
        <v>12.460916442048516</v>
      </c>
      <c r="H8" s="3">
        <f>H5-H6-H7</f>
        <v>18.491999999999997</v>
      </c>
      <c r="I8" s="3">
        <f>I5-I6-I7</f>
        <v>34.917647058823533</v>
      </c>
      <c r="J8" s="3">
        <f>J5-J6-J7</f>
        <v>21.755294117647061</v>
      </c>
      <c r="K8" s="19">
        <f>F8+S8*9</f>
        <v>4846.3999999999996</v>
      </c>
      <c r="L8" s="19">
        <f>F8/1.5+S8*9</f>
        <v>4796.9333333333334</v>
      </c>
      <c r="M8" s="19">
        <f>K8/9</f>
        <v>538.48888888888882</v>
      </c>
      <c r="N8" s="19">
        <f>L8/9</f>
        <v>532.99259259259259</v>
      </c>
      <c r="O8" s="29" t="s">
        <v>109</v>
      </c>
      <c r="P8" s="162" t="s">
        <v>108</v>
      </c>
      <c r="Q8" s="162"/>
      <c r="S8" s="160">
        <f>290*2*0.9</f>
        <v>522</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500</v>
      </c>
      <c r="E11" s="4">
        <v>15</v>
      </c>
      <c r="F11" s="3">
        <f>D11*(100-E11)/100</f>
        <v>425</v>
      </c>
      <c r="G11" s="4">
        <v>28</v>
      </c>
      <c r="H11" s="3">
        <f>G11*F11/100</f>
        <v>119</v>
      </c>
      <c r="I11" s="3">
        <v>100</v>
      </c>
      <c r="J11" s="3">
        <v>100</v>
      </c>
      <c r="K11" s="11"/>
      <c r="L11" s="12"/>
      <c r="M11" s="12"/>
      <c r="N11" s="12"/>
      <c r="O11" s="12"/>
      <c r="P11" s="12"/>
    </row>
    <row r="12" spans="2:24" ht="36.6" thickBot="1" x14ac:dyDescent="0.35">
      <c r="B12" s="5">
        <v>2</v>
      </c>
      <c r="C12" s="6" t="s">
        <v>189</v>
      </c>
      <c r="D12" s="5">
        <v>200</v>
      </c>
      <c r="E12" s="4">
        <v>12</v>
      </c>
      <c r="F12" s="4">
        <f t="shared" ref="F12:F13" si="2">D12*(100-E12)/100</f>
        <v>176</v>
      </c>
      <c r="G12" s="4">
        <v>40</v>
      </c>
      <c r="H12" s="4">
        <f t="shared" ref="H12:H13" si="3">G12*F12/100</f>
        <v>70.400000000000006</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100</v>
      </c>
      <c r="E13" s="4">
        <v>18</v>
      </c>
      <c r="F13" s="3">
        <f t="shared" si="2"/>
        <v>82</v>
      </c>
      <c r="G13" s="4">
        <v>22</v>
      </c>
      <c r="H13" s="3">
        <f t="shared" si="3"/>
        <v>18.04</v>
      </c>
      <c r="I13" s="3">
        <f>F13/F11*100</f>
        <v>19.294117647058822</v>
      </c>
      <c r="J13" s="3">
        <f>H13/H11*100</f>
        <v>15.15966386554622</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167</v>
      </c>
      <c r="G14" s="3">
        <f>H14/F14*100</f>
        <v>18.299401197604787</v>
      </c>
      <c r="H14" s="3">
        <f>H11-H12-H13</f>
        <v>30.559999999999995</v>
      </c>
      <c r="I14" s="3">
        <f>I11-I12-I13</f>
        <v>39.294117647058826</v>
      </c>
      <c r="J14" s="3">
        <f>J11-J12-J13</f>
        <v>25.680672268907557</v>
      </c>
      <c r="K14" s="19">
        <f>F14+S8*9</f>
        <v>4865</v>
      </c>
      <c r="L14" s="19">
        <f>F14/1.5+S8*9</f>
        <v>4809.333333333333</v>
      </c>
      <c r="M14" s="19">
        <f>K14/9</f>
        <v>540.55555555555554</v>
      </c>
      <c r="N14" s="19">
        <f>L14/9</f>
        <v>534.37037037037032</v>
      </c>
      <c r="O14" s="29" t="s">
        <v>6</v>
      </c>
      <c r="P14" s="162" t="s">
        <v>7</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200</v>
      </c>
      <c r="E18" s="4">
        <v>15</v>
      </c>
      <c r="F18" s="3">
        <f>D18*(100-E18)/100</f>
        <v>170</v>
      </c>
      <c r="G18" s="4">
        <v>22</v>
      </c>
      <c r="H18" s="3">
        <f>G18*F18/100</f>
        <v>37.4</v>
      </c>
      <c r="I18" s="3">
        <v>100</v>
      </c>
      <c r="J18" s="3">
        <v>100</v>
      </c>
      <c r="K18" s="11"/>
      <c r="L18" s="12"/>
      <c r="M18" s="12"/>
      <c r="N18" s="12"/>
      <c r="O18" s="12"/>
    </row>
    <row r="19" spans="2:17" ht="36.6" thickBot="1" x14ac:dyDescent="0.35">
      <c r="B19" s="5">
        <v>2</v>
      </c>
      <c r="C19" s="6" t="s">
        <v>189</v>
      </c>
      <c r="D19" s="5">
        <v>58</v>
      </c>
      <c r="E19" s="4">
        <v>12</v>
      </c>
      <c r="F19" s="4">
        <f t="shared" ref="F19:F20" si="4">D19*(100-E19)/100</f>
        <v>51.04</v>
      </c>
      <c r="G19" s="4">
        <v>36</v>
      </c>
      <c r="H19" s="4">
        <f t="shared" ref="H19:H20" si="5">G19*F19/100</f>
        <v>18.374400000000001</v>
      </c>
      <c r="I19" s="4">
        <f>F19/F18*100</f>
        <v>30.023529411764706</v>
      </c>
      <c r="J19" s="4">
        <f>H19/H18*100</f>
        <v>49.129411764705885</v>
      </c>
      <c r="K19" s="153" t="s">
        <v>200</v>
      </c>
      <c r="L19" s="154"/>
      <c r="M19" s="154"/>
      <c r="N19" s="154"/>
      <c r="O19" s="154"/>
      <c r="P19" s="154"/>
      <c r="Q19" s="154"/>
    </row>
    <row r="20" spans="2:17" ht="36.6" thickBot="1" x14ac:dyDescent="0.35">
      <c r="B20" s="1">
        <v>3</v>
      </c>
      <c r="C20" s="2" t="s">
        <v>207</v>
      </c>
      <c r="D20" s="5">
        <v>40</v>
      </c>
      <c r="E20" s="4">
        <v>18</v>
      </c>
      <c r="F20" s="3">
        <f t="shared" si="4"/>
        <v>32.799999999999997</v>
      </c>
      <c r="G20" s="4">
        <v>18</v>
      </c>
      <c r="H20" s="3">
        <f t="shared" si="5"/>
        <v>5.9039999999999999</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86.160000000000011</v>
      </c>
      <c r="G21" s="3">
        <f>H21/F21*100</f>
        <v>15.229340761374182</v>
      </c>
      <c r="H21" s="3">
        <f>H18-H19-H20</f>
        <v>13.121599999999997</v>
      </c>
      <c r="I21" s="3">
        <f>I18-I19-I20</f>
        <v>50.682352941176461</v>
      </c>
      <c r="J21" s="3">
        <f>J18-J19-J20</f>
        <v>35.08449197860962</v>
      </c>
      <c r="K21" s="19">
        <f>F21+S8*9</f>
        <v>4784.16</v>
      </c>
      <c r="L21" s="19">
        <f>F21/1.5+S8*9</f>
        <v>4755.4399999999996</v>
      </c>
      <c r="M21" s="19">
        <f>K21/9</f>
        <v>531.57333333333327</v>
      </c>
      <c r="N21" s="19">
        <f>L21/9</f>
        <v>528.38222222222214</v>
      </c>
      <c r="O21" s="29" t="s">
        <v>110</v>
      </c>
      <c r="P21" s="162" t="s">
        <v>111</v>
      </c>
      <c r="Q21" s="162"/>
    </row>
  </sheetData>
  <mergeCells count="20">
    <mergeCell ref="P14:Q14"/>
    <mergeCell ref="B15:J16"/>
    <mergeCell ref="K19:Q19"/>
    <mergeCell ref="P21:Q21"/>
    <mergeCell ref="S10:U10"/>
    <mergeCell ref="K12:Q12"/>
    <mergeCell ref="S12:U12"/>
    <mergeCell ref="V12:X12"/>
    <mergeCell ref="S13:X13"/>
    <mergeCell ref="S7:X7"/>
    <mergeCell ref="P8:Q8"/>
    <mergeCell ref="S8:T8"/>
    <mergeCell ref="B9:J9"/>
    <mergeCell ref="T9:U9"/>
    <mergeCell ref="B2:J2"/>
    <mergeCell ref="B3:J3"/>
    <mergeCell ref="S4:X4"/>
    <mergeCell ref="S5:X5"/>
    <mergeCell ref="K6:Q6"/>
    <mergeCell ref="S6:X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X21"/>
  <sheetViews>
    <sheetView topLeftCell="B1" workbookViewId="0">
      <selection activeCell="B3" sqref="B3:J3"/>
    </sheetView>
  </sheetViews>
  <sheetFormatPr defaultColWidth="8.88671875" defaultRowHeight="13.8" x14ac:dyDescent="0.3"/>
  <cols>
    <col min="1" max="1" width="1.88671875" style="30" customWidth="1"/>
    <col min="2" max="2" width="4.109375" style="30" customWidth="1"/>
    <col min="3" max="3" width="14.44140625" style="30" customWidth="1"/>
    <col min="4" max="4" width="10.33203125" style="30" customWidth="1"/>
    <col min="5" max="5" width="6.33203125" style="30" customWidth="1"/>
    <col min="6" max="6" width="10.6640625" style="30" customWidth="1"/>
    <col min="7" max="7" width="8.5546875" style="30" customWidth="1"/>
    <col min="8" max="8" width="9.88671875" style="30" customWidth="1"/>
    <col min="9" max="9" width="10.88671875" style="30" customWidth="1"/>
    <col min="10" max="10" width="11.44140625" style="30" customWidth="1"/>
    <col min="11" max="11" width="15.6640625" style="30" customWidth="1"/>
    <col min="12" max="12" width="16.88671875" style="30" customWidth="1"/>
    <col min="13" max="13" width="11.44140625" style="30" customWidth="1"/>
    <col min="14" max="14" width="14.44140625" style="30" customWidth="1"/>
    <col min="15" max="15" width="16.6640625" style="30" customWidth="1"/>
    <col min="16" max="16" width="11.44140625" style="30" customWidth="1"/>
    <col min="17" max="17" width="7.33203125" style="30" customWidth="1"/>
    <col min="18" max="16384" width="8.88671875" style="30"/>
  </cols>
  <sheetData>
    <row r="1" spans="2:24" ht="15.6" customHeight="1" x14ac:dyDescent="0.3"/>
    <row r="2" spans="2:24" ht="20.399999999999999" customHeight="1" x14ac:dyDescent="0.3">
      <c r="B2" s="155"/>
      <c r="C2" s="155"/>
      <c r="D2" s="155"/>
      <c r="E2" s="155"/>
      <c r="F2" s="155"/>
      <c r="G2" s="155"/>
      <c r="H2" s="155"/>
      <c r="I2" s="155"/>
      <c r="J2" s="155"/>
      <c r="K2" s="31"/>
      <c r="L2" s="31"/>
      <c r="M2" s="31"/>
      <c r="N2" s="31"/>
      <c r="O2" s="31"/>
      <c r="P2" s="31"/>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640</v>
      </c>
      <c r="E5" s="4">
        <v>15</v>
      </c>
      <c r="F5" s="3">
        <f>D5*(100-E5)/100</f>
        <v>544</v>
      </c>
      <c r="G5" s="4">
        <v>20</v>
      </c>
      <c r="H5" s="3">
        <f>G5*F5/100</f>
        <v>108.8</v>
      </c>
      <c r="I5" s="3">
        <v>100</v>
      </c>
      <c r="J5" s="3">
        <v>100</v>
      </c>
      <c r="K5" s="9"/>
      <c r="L5" s="10"/>
      <c r="M5" s="10"/>
      <c r="N5" s="10"/>
      <c r="O5" s="10"/>
      <c r="P5" s="10"/>
      <c r="S5" s="164" t="s">
        <v>38</v>
      </c>
      <c r="T5" s="164"/>
      <c r="U5" s="164"/>
      <c r="V5" s="164"/>
      <c r="W5" s="164"/>
      <c r="X5" s="164"/>
    </row>
    <row r="6" spans="2:24" ht="25.2" customHeight="1" thickBot="1" x14ac:dyDescent="0.35">
      <c r="B6" s="5">
        <v>2</v>
      </c>
      <c r="C6" s="6" t="s">
        <v>189</v>
      </c>
      <c r="D6" s="5">
        <v>128</v>
      </c>
      <c r="E6" s="4">
        <v>12</v>
      </c>
      <c r="F6" s="4">
        <f t="shared" ref="F6:F7" si="0">D6*(100-E6)/100</f>
        <v>112.64</v>
      </c>
      <c r="G6" s="4">
        <v>37</v>
      </c>
      <c r="H6" s="4">
        <f t="shared" ref="H6:H7" si="1">G6*F6/100</f>
        <v>41.6768</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260</v>
      </c>
      <c r="E7" s="4">
        <v>18</v>
      </c>
      <c r="F7" s="3">
        <f t="shared" si="0"/>
        <v>213.2</v>
      </c>
      <c r="G7" s="4">
        <v>18</v>
      </c>
      <c r="H7" s="3">
        <f t="shared" si="1"/>
        <v>38.375999999999998</v>
      </c>
      <c r="I7" s="3">
        <f>F7/F5*100</f>
        <v>39.191176470588232</v>
      </c>
      <c r="J7" s="3">
        <f>H7/H5*100</f>
        <v>35.272058823529413</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218.16000000000003</v>
      </c>
      <c r="G8" s="3">
        <f>H8/F8*100</f>
        <v>13.177117711771174</v>
      </c>
      <c r="H8" s="3">
        <f>H5-H6-H7</f>
        <v>28.747199999999999</v>
      </c>
      <c r="I8" s="3">
        <f>I5-I6-I7</f>
        <v>40.102941176470594</v>
      </c>
      <c r="J8" s="3">
        <f>J5-J6-J7</f>
        <v>26.422058823529412</v>
      </c>
      <c r="K8" s="19">
        <f>F8+936*9</f>
        <v>8642.16</v>
      </c>
      <c r="L8" s="19">
        <f>F8/1.5+936*9</f>
        <v>8569.44</v>
      </c>
      <c r="M8" s="19">
        <f>K8/9</f>
        <v>960.24</v>
      </c>
      <c r="N8" s="19">
        <f>L8/9</f>
        <v>952.16000000000008</v>
      </c>
      <c r="O8" s="32"/>
      <c r="P8" s="162"/>
      <c r="Q8" s="162"/>
      <c r="S8" s="163" t="s">
        <v>112</v>
      </c>
      <c r="T8" s="163"/>
      <c r="U8" s="163"/>
      <c r="V8" s="163"/>
      <c r="W8" s="163"/>
      <c r="X8" s="163"/>
    </row>
    <row r="9" spans="2:24" ht="25.2" customHeight="1" thickBot="1" x14ac:dyDescent="0.35">
      <c r="B9" s="158" t="s">
        <v>196</v>
      </c>
      <c r="C9" s="158"/>
      <c r="D9" s="158"/>
      <c r="E9" s="158"/>
      <c r="F9" s="158"/>
      <c r="G9" s="158"/>
      <c r="H9" s="158"/>
      <c r="I9" s="158"/>
      <c r="J9" s="158"/>
      <c r="K9" s="8"/>
      <c r="L9" s="8"/>
      <c r="M9" s="8"/>
      <c r="N9" s="8"/>
      <c r="O9" s="13"/>
      <c r="P9" s="8"/>
      <c r="S9" s="163"/>
      <c r="T9" s="163"/>
      <c r="U9" s="163"/>
      <c r="V9" s="163"/>
      <c r="W9" s="163"/>
      <c r="X9" s="163"/>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3"/>
      <c r="T10" s="163"/>
      <c r="U10" s="163"/>
      <c r="V10" s="163"/>
      <c r="W10" s="163"/>
      <c r="X10" s="163"/>
    </row>
    <row r="11" spans="2:24" ht="24.6" thickBot="1" x14ac:dyDescent="0.35">
      <c r="B11" s="1">
        <v>1</v>
      </c>
      <c r="C11" s="2" t="s">
        <v>188</v>
      </c>
      <c r="D11" s="5">
        <v>640</v>
      </c>
      <c r="E11" s="4">
        <v>15</v>
      </c>
      <c r="F11" s="3">
        <f>D11*(100-E11)/100</f>
        <v>544</v>
      </c>
      <c r="G11" s="4">
        <v>28</v>
      </c>
      <c r="H11" s="3">
        <f>G11*F11/100</f>
        <v>152.32</v>
      </c>
      <c r="I11" s="3">
        <v>100</v>
      </c>
      <c r="J11" s="3">
        <v>100</v>
      </c>
      <c r="K11" s="11"/>
      <c r="L11" s="12"/>
      <c r="M11" s="12"/>
      <c r="N11" s="12"/>
      <c r="O11" s="12"/>
      <c r="P11" s="12"/>
      <c r="S11" s="152"/>
      <c r="T11" s="152"/>
      <c r="U11" s="152"/>
      <c r="V11" s="152"/>
      <c r="W11" s="152"/>
      <c r="X11" s="152"/>
    </row>
    <row r="12" spans="2:24" ht="24.75" customHeight="1" thickBot="1" x14ac:dyDescent="0.35">
      <c r="B12" s="5">
        <v>2</v>
      </c>
      <c r="C12" s="6" t="s">
        <v>189</v>
      </c>
      <c r="D12" s="5">
        <v>250</v>
      </c>
      <c r="E12" s="4">
        <v>12</v>
      </c>
      <c r="F12" s="4">
        <f t="shared" ref="F12:F13" si="2">D12*(100-E12)/100</f>
        <v>220</v>
      </c>
      <c r="G12" s="4">
        <v>40</v>
      </c>
      <c r="H12" s="4">
        <f t="shared" ref="H12:H13" si="3">G12*F12/100</f>
        <v>88</v>
      </c>
      <c r="I12" s="4">
        <f>F12/F11*100</f>
        <v>40.441176470588239</v>
      </c>
      <c r="J12" s="4">
        <f>H12/H11*100</f>
        <v>57.773109243697483</v>
      </c>
      <c r="K12" s="153" t="s">
        <v>200</v>
      </c>
      <c r="L12" s="154"/>
      <c r="M12" s="154"/>
      <c r="N12" s="154"/>
      <c r="O12" s="154"/>
      <c r="P12" s="154"/>
      <c r="Q12" s="154"/>
      <c r="S12" s="161" t="s">
        <v>39</v>
      </c>
      <c r="T12" s="161"/>
      <c r="U12" s="161"/>
      <c r="V12" s="161"/>
      <c r="W12" s="161"/>
      <c r="X12" s="161"/>
    </row>
    <row r="13" spans="2:24" ht="24.75" customHeight="1" thickBot="1" x14ac:dyDescent="0.35">
      <c r="B13" s="1">
        <v>3</v>
      </c>
      <c r="C13" s="2" t="s">
        <v>207</v>
      </c>
      <c r="D13" s="5">
        <v>140</v>
      </c>
      <c r="E13" s="4">
        <v>18</v>
      </c>
      <c r="F13" s="3">
        <f t="shared" si="2"/>
        <v>114.8</v>
      </c>
      <c r="G13" s="4">
        <v>22</v>
      </c>
      <c r="H13" s="3">
        <f t="shared" si="3"/>
        <v>25.256</v>
      </c>
      <c r="I13" s="3">
        <f>F13/F11*100</f>
        <v>21.102941176470587</v>
      </c>
      <c r="J13" s="3">
        <f>H13/H11*100</f>
        <v>16.580882352941178</v>
      </c>
      <c r="K13" s="17" t="s">
        <v>201</v>
      </c>
      <c r="L13" s="75" t="s">
        <v>202</v>
      </c>
      <c r="M13" s="75" t="s">
        <v>203</v>
      </c>
      <c r="N13" s="75" t="s">
        <v>204</v>
      </c>
      <c r="O13" s="75" t="s">
        <v>205</v>
      </c>
      <c r="P13" s="75" t="s">
        <v>206</v>
      </c>
      <c r="Q13" s="74"/>
      <c r="S13" s="161"/>
      <c r="T13" s="161"/>
      <c r="U13" s="161"/>
      <c r="V13" s="161"/>
      <c r="W13" s="161"/>
      <c r="X13" s="161"/>
    </row>
    <row r="14" spans="2:24" ht="24.6" thickBot="1" x14ac:dyDescent="0.35">
      <c r="B14" s="1">
        <v>4</v>
      </c>
      <c r="C14" s="2" t="s">
        <v>190</v>
      </c>
      <c r="D14" s="1"/>
      <c r="E14" s="1"/>
      <c r="F14" s="3">
        <f>F11-F12-F13</f>
        <v>209.2</v>
      </c>
      <c r="G14" s="3">
        <f>H14/F14*100</f>
        <v>18.673040152963669</v>
      </c>
      <c r="H14" s="3">
        <f>H11-H12-H13</f>
        <v>39.063999999999993</v>
      </c>
      <c r="I14" s="3">
        <f>I11-I12-I13</f>
        <v>38.455882352941174</v>
      </c>
      <c r="J14" s="3">
        <f>J11-J12-J13</f>
        <v>25.646008403361339</v>
      </c>
      <c r="K14" s="19">
        <f>936*9+F14</f>
        <v>8633.2000000000007</v>
      </c>
      <c r="L14" s="19">
        <f>936*9+F14/1.5</f>
        <v>8563.4666666666672</v>
      </c>
      <c r="M14" s="19">
        <f>K14/9</f>
        <v>959.24444444444453</v>
      </c>
      <c r="N14" s="19">
        <f>L14/9</f>
        <v>951.49629629629635</v>
      </c>
      <c r="O14" s="32"/>
      <c r="P14" s="162"/>
      <c r="Q14" s="162"/>
      <c r="S14" s="161"/>
      <c r="T14" s="161"/>
      <c r="U14" s="161"/>
      <c r="V14" s="161"/>
      <c r="W14" s="161"/>
      <c r="X14" s="161"/>
    </row>
    <row r="15" spans="2:24" x14ac:dyDescent="0.3">
      <c r="B15" s="156" t="s">
        <v>197</v>
      </c>
      <c r="C15" s="156"/>
      <c r="D15" s="156"/>
      <c r="E15" s="156"/>
      <c r="F15" s="156"/>
      <c r="G15" s="156"/>
      <c r="H15" s="156"/>
      <c r="I15" s="156"/>
      <c r="J15" s="156"/>
      <c r="S15" s="161"/>
      <c r="T15" s="161"/>
      <c r="U15" s="161"/>
      <c r="V15" s="161"/>
      <c r="W15" s="161"/>
      <c r="X15" s="161"/>
    </row>
    <row r="16" spans="2:24" ht="14.4" thickBot="1" x14ac:dyDescent="0.35">
      <c r="B16" s="157"/>
      <c r="C16" s="157"/>
      <c r="D16" s="157"/>
      <c r="E16" s="157"/>
      <c r="F16" s="157"/>
      <c r="G16" s="157"/>
      <c r="H16" s="157"/>
      <c r="I16" s="157"/>
      <c r="J16" s="157"/>
      <c r="S16" s="161"/>
      <c r="T16" s="161"/>
      <c r="U16" s="161"/>
      <c r="V16" s="161"/>
      <c r="W16" s="161"/>
      <c r="X16" s="161"/>
    </row>
    <row r="17" spans="2:24" ht="48.6" customHeight="1" thickBot="1" x14ac:dyDescent="0.35">
      <c r="B17" s="1" t="s">
        <v>0</v>
      </c>
      <c r="C17" s="2" t="s">
        <v>187</v>
      </c>
      <c r="D17" s="2" t="s">
        <v>191</v>
      </c>
      <c r="E17" s="2" t="s">
        <v>2</v>
      </c>
      <c r="F17" s="2" t="s">
        <v>192</v>
      </c>
      <c r="G17" s="2" t="s">
        <v>1</v>
      </c>
      <c r="H17" s="2" t="s">
        <v>193</v>
      </c>
      <c r="I17" s="2" t="s">
        <v>194</v>
      </c>
      <c r="J17" s="2" t="s">
        <v>195</v>
      </c>
      <c r="K17" s="11"/>
      <c r="L17" s="12"/>
      <c r="M17" s="12"/>
      <c r="N17" s="12"/>
      <c r="O17" s="12"/>
      <c r="S17" s="161" t="s">
        <v>218</v>
      </c>
      <c r="T17" s="161"/>
      <c r="U17" s="161"/>
      <c r="V17" s="161"/>
      <c r="W17" s="161"/>
      <c r="X17" s="161"/>
    </row>
    <row r="18" spans="2:24" ht="24.6" thickBot="1" x14ac:dyDescent="0.35">
      <c r="B18" s="1">
        <v>1</v>
      </c>
      <c r="C18" s="2" t="s">
        <v>188</v>
      </c>
      <c r="D18" s="5">
        <v>200</v>
      </c>
      <c r="E18" s="4">
        <v>15</v>
      </c>
      <c r="F18" s="3">
        <f>D18*(100-E18)/100</f>
        <v>170</v>
      </c>
      <c r="G18" s="4">
        <v>22</v>
      </c>
      <c r="H18" s="3">
        <f>G18*F18/100</f>
        <v>37.4</v>
      </c>
      <c r="I18" s="3">
        <v>100</v>
      </c>
      <c r="J18" s="3">
        <v>100</v>
      </c>
      <c r="K18" s="11"/>
      <c r="L18" s="12"/>
      <c r="M18" s="12"/>
      <c r="N18" s="12"/>
      <c r="O18" s="12"/>
    </row>
    <row r="19" spans="2:24" ht="36.6" thickBot="1" x14ac:dyDescent="0.35">
      <c r="B19" s="5">
        <v>2</v>
      </c>
      <c r="C19" s="6" t="s">
        <v>189</v>
      </c>
      <c r="D19" s="5">
        <v>55</v>
      </c>
      <c r="E19" s="4">
        <v>12</v>
      </c>
      <c r="F19" s="4">
        <f t="shared" ref="F19:F20" si="4">D19*(100-E19)/100</f>
        <v>48.4</v>
      </c>
      <c r="G19" s="4">
        <v>36</v>
      </c>
      <c r="H19" s="4">
        <f t="shared" ref="H19:H20" si="5">G19*F19/100</f>
        <v>17.423999999999999</v>
      </c>
      <c r="I19" s="4">
        <f>F19/F18*100</f>
        <v>28.470588235294116</v>
      </c>
      <c r="J19" s="4">
        <f>H19/H18*100</f>
        <v>46.588235294117645</v>
      </c>
      <c r="K19" s="153" t="s">
        <v>200</v>
      </c>
      <c r="L19" s="154"/>
      <c r="M19" s="154"/>
      <c r="N19" s="154"/>
      <c r="O19" s="154"/>
      <c r="P19" s="154"/>
      <c r="Q19" s="154"/>
    </row>
    <row r="20" spans="2:24" ht="36.6" thickBot="1" x14ac:dyDescent="0.35">
      <c r="B20" s="1">
        <v>3</v>
      </c>
      <c r="C20" s="2" t="s">
        <v>207</v>
      </c>
      <c r="D20" s="5">
        <v>40</v>
      </c>
      <c r="E20" s="4">
        <v>18</v>
      </c>
      <c r="F20" s="3">
        <f t="shared" si="4"/>
        <v>32.799999999999997</v>
      </c>
      <c r="G20" s="4">
        <v>18</v>
      </c>
      <c r="H20" s="3">
        <f t="shared" si="5"/>
        <v>5.9039999999999999</v>
      </c>
      <c r="I20" s="3">
        <f>F20/F18*100</f>
        <v>19.294117647058822</v>
      </c>
      <c r="J20" s="3">
        <f>H20/H18*100</f>
        <v>15.786096256684493</v>
      </c>
      <c r="K20" s="17" t="s">
        <v>201</v>
      </c>
      <c r="L20" s="75" t="s">
        <v>202</v>
      </c>
      <c r="M20" s="75" t="s">
        <v>203</v>
      </c>
      <c r="N20" s="75" t="s">
        <v>204</v>
      </c>
      <c r="O20" s="75" t="s">
        <v>205</v>
      </c>
      <c r="P20" s="75" t="s">
        <v>206</v>
      </c>
      <c r="Q20" s="74"/>
    </row>
    <row r="21" spans="2:24" ht="24.6" thickBot="1" x14ac:dyDescent="0.35">
      <c r="B21" s="1">
        <v>4</v>
      </c>
      <c r="C21" s="2" t="s">
        <v>190</v>
      </c>
      <c r="D21" s="1"/>
      <c r="E21" s="1"/>
      <c r="F21" s="3">
        <f>F18-F19-F20</f>
        <v>88.8</v>
      </c>
      <c r="G21" s="3">
        <f>H21/F21*100</f>
        <v>15.846846846846846</v>
      </c>
      <c r="H21" s="3">
        <f>H18-H19-H20</f>
        <v>14.071999999999999</v>
      </c>
      <c r="I21" s="3">
        <f>I18-I19-I20</f>
        <v>52.235294117647058</v>
      </c>
      <c r="J21" s="3">
        <f>J18-J19-J20</f>
        <v>37.62566844919786</v>
      </c>
      <c r="K21" s="19">
        <f>F21+936*9</f>
        <v>8512.7999999999993</v>
      </c>
      <c r="L21" s="19">
        <f>936*9+F21/1.5</f>
        <v>8483.2000000000007</v>
      </c>
      <c r="M21" s="19">
        <f>K21/9</f>
        <v>945.86666666666656</v>
      </c>
      <c r="N21" s="19">
        <f>L21/9</f>
        <v>942.5777777777779</v>
      </c>
      <c r="O21" s="32"/>
      <c r="P21" s="162"/>
      <c r="Q21" s="162"/>
    </row>
  </sheetData>
  <mergeCells count="18">
    <mergeCell ref="B9:J9"/>
    <mergeCell ref="B2:J2"/>
    <mergeCell ref="B3:J3"/>
    <mergeCell ref="S4:X4"/>
    <mergeCell ref="S5:X5"/>
    <mergeCell ref="K6:Q6"/>
    <mergeCell ref="S6:X6"/>
    <mergeCell ref="S11:X11"/>
    <mergeCell ref="S8:X10"/>
    <mergeCell ref="S12:X16"/>
    <mergeCell ref="P14:Q14"/>
    <mergeCell ref="S7:X7"/>
    <mergeCell ref="P8:Q8"/>
    <mergeCell ref="S17:X17"/>
    <mergeCell ref="B15:J16"/>
    <mergeCell ref="K19:Q19"/>
    <mergeCell ref="P21:Q21"/>
    <mergeCell ref="K12:Q12"/>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21"/>
  <sheetViews>
    <sheetView topLeftCell="B1" workbookViewId="0">
      <selection activeCell="B3" sqref="B3:J3"/>
    </sheetView>
  </sheetViews>
  <sheetFormatPr defaultColWidth="8.88671875" defaultRowHeight="13.8" x14ac:dyDescent="0.3"/>
  <cols>
    <col min="1" max="1" width="1.886718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220</v>
      </c>
      <c r="E5" s="4">
        <v>15</v>
      </c>
      <c r="F5" s="3">
        <f>D5*(100-E5)/100</f>
        <v>187</v>
      </c>
      <c r="G5" s="4">
        <v>20</v>
      </c>
      <c r="H5" s="3">
        <f>G5*F5/100</f>
        <v>37.4</v>
      </c>
      <c r="I5" s="3">
        <v>100</v>
      </c>
      <c r="J5" s="3">
        <v>100</v>
      </c>
      <c r="K5" s="9"/>
      <c r="L5" s="10"/>
      <c r="M5" s="10"/>
      <c r="N5" s="10"/>
      <c r="O5" s="10"/>
      <c r="P5" s="10"/>
      <c r="S5" s="160" t="s">
        <v>219</v>
      </c>
      <c r="T5" s="160"/>
      <c r="U5" s="160"/>
      <c r="V5" s="160"/>
      <c r="W5" s="160"/>
      <c r="X5" s="160"/>
    </row>
    <row r="6" spans="2:24" ht="25.2" customHeight="1" thickBot="1" x14ac:dyDescent="0.35">
      <c r="B6" s="5">
        <v>2</v>
      </c>
      <c r="C6" s="6" t="s">
        <v>189</v>
      </c>
      <c r="D6" s="5">
        <v>44</v>
      </c>
      <c r="E6" s="4">
        <v>12</v>
      </c>
      <c r="F6" s="4">
        <f t="shared" ref="F6:F7" si="0">D6*(100-E6)/100</f>
        <v>38.72</v>
      </c>
      <c r="G6" s="4">
        <v>37</v>
      </c>
      <c r="H6" s="4">
        <f t="shared" ref="H6:H7" si="1">G6*F6/100</f>
        <v>14.3264</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88</v>
      </c>
      <c r="E7" s="4">
        <v>18</v>
      </c>
      <c r="F7" s="3">
        <f t="shared" si="0"/>
        <v>72.16</v>
      </c>
      <c r="G7" s="4">
        <v>18</v>
      </c>
      <c r="H7" s="3">
        <f t="shared" si="1"/>
        <v>12.988799999999999</v>
      </c>
      <c r="I7" s="3">
        <f>F7/F5*100</f>
        <v>38.588235294117645</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76.12</v>
      </c>
      <c r="G8" s="3">
        <f>H8/F8*100</f>
        <v>13.248554913294797</v>
      </c>
      <c r="H8" s="3">
        <f>H5-H6-H7</f>
        <v>10.0848</v>
      </c>
      <c r="I8" s="3">
        <f>I5-I6-I7</f>
        <v>40.705882352941181</v>
      </c>
      <c r="J8" s="3">
        <f>J5-J6-J7</f>
        <v>26.964705882352945</v>
      </c>
      <c r="K8" s="19">
        <f>F8+S8*9</f>
        <v>1461.2200000000003</v>
      </c>
      <c r="L8" s="19">
        <f>F8/1.5+S8*9</f>
        <v>1435.8466666666668</v>
      </c>
      <c r="M8" s="19">
        <f>K8/9</f>
        <v>162.35777777777781</v>
      </c>
      <c r="N8" s="19">
        <f>L8/9</f>
        <v>159.53851851851854</v>
      </c>
      <c r="O8" s="35" t="s">
        <v>70</v>
      </c>
      <c r="P8" s="162" t="s">
        <v>71</v>
      </c>
      <c r="Q8" s="162"/>
      <c r="S8" s="160">
        <f>162*0.95</f>
        <v>153.9</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1" t="s">
        <v>220</v>
      </c>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220</v>
      </c>
      <c r="E11" s="4">
        <v>15</v>
      </c>
      <c r="F11" s="3">
        <f>D11*(100-E11)/100</f>
        <v>187</v>
      </c>
      <c r="G11" s="4">
        <v>28</v>
      </c>
      <c r="H11" s="3">
        <f>G11*F11/100</f>
        <v>52.36</v>
      </c>
      <c r="I11" s="3">
        <v>100</v>
      </c>
      <c r="J11" s="3">
        <v>100</v>
      </c>
      <c r="K11" s="11"/>
      <c r="L11" s="12"/>
      <c r="M11" s="12"/>
      <c r="N11" s="12"/>
      <c r="O11" s="12"/>
      <c r="P11" s="12"/>
    </row>
    <row r="12" spans="2:24" ht="36.6" thickBot="1" x14ac:dyDescent="0.35">
      <c r="B12" s="5">
        <v>2</v>
      </c>
      <c r="C12" s="6" t="s">
        <v>189</v>
      </c>
      <c r="D12" s="5">
        <v>88</v>
      </c>
      <c r="E12" s="4">
        <v>12</v>
      </c>
      <c r="F12" s="4">
        <f t="shared" ref="F12:F13" si="2">D12*(100-E12)/100</f>
        <v>77.44</v>
      </c>
      <c r="G12" s="4">
        <v>40</v>
      </c>
      <c r="H12" s="4">
        <f t="shared" ref="H12:H13" si="3">G12*F12/100</f>
        <v>30.975999999999999</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50</v>
      </c>
      <c r="E13" s="4">
        <v>18</v>
      </c>
      <c r="F13" s="3">
        <f t="shared" si="2"/>
        <v>41</v>
      </c>
      <c r="G13" s="4">
        <v>22</v>
      </c>
      <c r="H13" s="3">
        <f t="shared" si="3"/>
        <v>9.02</v>
      </c>
      <c r="I13" s="3">
        <f>F13/F11*100</f>
        <v>21.925133689839569</v>
      </c>
      <c r="J13" s="3">
        <f>H13/H11*100</f>
        <v>17.22689075630252</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68.56</v>
      </c>
      <c r="G14" s="3">
        <f>H14/F14*100</f>
        <v>18.033838973162194</v>
      </c>
      <c r="H14" s="3">
        <f>H11-H12-H13</f>
        <v>12.364000000000001</v>
      </c>
      <c r="I14" s="3">
        <f>I11-I12-I13</f>
        <v>36.663101604278076</v>
      </c>
      <c r="J14" s="3">
        <f>J11-J12-J13</f>
        <v>23.613445378151258</v>
      </c>
      <c r="K14" s="19">
        <f>F14+S8*9</f>
        <v>1453.66</v>
      </c>
      <c r="L14" s="19">
        <f>F14/1.5+S8*9</f>
        <v>1430.8066666666668</v>
      </c>
      <c r="M14" s="19">
        <f>K14/9</f>
        <v>161.51777777777778</v>
      </c>
      <c r="N14" s="19">
        <f>L14/9</f>
        <v>158.97851851851854</v>
      </c>
      <c r="O14" s="35" t="s">
        <v>72</v>
      </c>
      <c r="P14" s="162" t="s">
        <v>73</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120</v>
      </c>
      <c r="E18" s="4">
        <v>15</v>
      </c>
      <c r="F18" s="3">
        <f>D18*(100-E18)/100</f>
        <v>102</v>
      </c>
      <c r="G18" s="4">
        <v>22</v>
      </c>
      <c r="H18" s="3">
        <f>G18*F18/100</f>
        <v>22.44</v>
      </c>
      <c r="I18" s="3">
        <v>100</v>
      </c>
      <c r="J18" s="3">
        <v>100</v>
      </c>
      <c r="K18" s="11"/>
      <c r="L18" s="12"/>
      <c r="M18" s="12"/>
      <c r="N18" s="12"/>
      <c r="O18" s="12"/>
    </row>
    <row r="19" spans="2:17" ht="36.6" thickBot="1" x14ac:dyDescent="0.35">
      <c r="B19" s="5">
        <v>2</v>
      </c>
      <c r="C19" s="6" t="s">
        <v>189</v>
      </c>
      <c r="D19" s="5">
        <v>35</v>
      </c>
      <c r="E19" s="4">
        <v>12</v>
      </c>
      <c r="F19" s="4">
        <f t="shared" ref="F19:F20" si="4">D19*(100-E19)/100</f>
        <v>30.8</v>
      </c>
      <c r="G19" s="4">
        <v>36</v>
      </c>
      <c r="H19" s="4">
        <f t="shared" ref="H19:H20" si="5">G19*F19/100</f>
        <v>11.087999999999999</v>
      </c>
      <c r="I19" s="4">
        <f>F19/F18*100</f>
        <v>30.196078431372548</v>
      </c>
      <c r="J19" s="4">
        <f>H19/H18*100</f>
        <v>49.411764705882341</v>
      </c>
      <c r="K19" s="153" t="s">
        <v>200</v>
      </c>
      <c r="L19" s="154"/>
      <c r="M19" s="154"/>
      <c r="N19" s="154"/>
      <c r="O19" s="154"/>
      <c r="P19" s="154"/>
      <c r="Q19" s="154"/>
    </row>
    <row r="20" spans="2:17" ht="36.6" thickBot="1" x14ac:dyDescent="0.35">
      <c r="B20" s="1">
        <v>3</v>
      </c>
      <c r="C20" s="2" t="s">
        <v>207</v>
      </c>
      <c r="D20" s="5">
        <v>24</v>
      </c>
      <c r="E20" s="4">
        <v>18</v>
      </c>
      <c r="F20" s="3">
        <f t="shared" si="4"/>
        <v>19.68</v>
      </c>
      <c r="G20" s="4">
        <v>18</v>
      </c>
      <c r="H20" s="3">
        <f t="shared" si="5"/>
        <v>3.5424000000000002</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51.52</v>
      </c>
      <c r="G21" s="3">
        <f>H21/F21*100</f>
        <v>15.158385093167704</v>
      </c>
      <c r="H21" s="3">
        <f>H18-H19-H20</f>
        <v>7.8096000000000014</v>
      </c>
      <c r="I21" s="3">
        <f>I18-I19-I20</f>
        <v>50.509803921568633</v>
      </c>
      <c r="J21" s="3">
        <f>J18-J19-J20</f>
        <v>34.802139037433165</v>
      </c>
      <c r="K21" s="19">
        <f>F21+S8*9</f>
        <v>1436.6200000000001</v>
      </c>
      <c r="L21" s="19">
        <f>F21/1.5+S8*9</f>
        <v>1419.4466666666667</v>
      </c>
      <c r="M21" s="19">
        <f>K21/9</f>
        <v>159.62444444444446</v>
      </c>
      <c r="N21" s="19">
        <f>L21/9</f>
        <v>157.71629629629629</v>
      </c>
      <c r="O21" s="35"/>
      <c r="P21" s="162"/>
      <c r="Q21" s="162"/>
    </row>
  </sheetData>
  <mergeCells count="17">
    <mergeCell ref="P21:Q21"/>
    <mergeCell ref="B9:J9"/>
    <mergeCell ref="B2:J2"/>
    <mergeCell ref="B3:J3"/>
    <mergeCell ref="S4:X4"/>
    <mergeCell ref="S5:X5"/>
    <mergeCell ref="K6:Q6"/>
    <mergeCell ref="S6:X6"/>
    <mergeCell ref="S9:X10"/>
    <mergeCell ref="S7:X7"/>
    <mergeCell ref="P8:Q8"/>
    <mergeCell ref="S8:T8"/>
    <mergeCell ref="S12:X16"/>
    <mergeCell ref="K12:Q12"/>
    <mergeCell ref="P14:Q14"/>
    <mergeCell ref="B15:J16"/>
    <mergeCell ref="K19:Q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X21"/>
  <sheetViews>
    <sheetView topLeftCell="B1" workbookViewId="0">
      <selection activeCell="B3" sqref="B3:J3"/>
    </sheetView>
  </sheetViews>
  <sheetFormatPr defaultColWidth="8.88671875" defaultRowHeight="13.8" x14ac:dyDescent="0.3"/>
  <cols>
    <col min="1" max="1" width="1.88671875" style="58" customWidth="1"/>
    <col min="2" max="2" width="4.109375" style="58" customWidth="1"/>
    <col min="3" max="3" width="14.44140625" style="58" customWidth="1"/>
    <col min="4" max="4" width="10.33203125" style="58" customWidth="1"/>
    <col min="5" max="5" width="6.33203125" style="58" customWidth="1"/>
    <col min="6" max="6" width="10.6640625" style="58" customWidth="1"/>
    <col min="7" max="7" width="8.5546875" style="58" customWidth="1"/>
    <col min="8" max="8" width="9.88671875" style="58" customWidth="1"/>
    <col min="9" max="9" width="10.88671875" style="58" customWidth="1"/>
    <col min="10" max="10" width="11.44140625" style="58" customWidth="1"/>
    <col min="11" max="11" width="15.6640625" style="58" customWidth="1"/>
    <col min="12" max="12" width="16.88671875" style="58" customWidth="1"/>
    <col min="13" max="13" width="11.44140625" style="58" customWidth="1"/>
    <col min="14" max="14" width="14.44140625" style="58" customWidth="1"/>
    <col min="15" max="15" width="16.6640625" style="58" customWidth="1"/>
    <col min="16" max="16" width="11.44140625" style="58" customWidth="1"/>
    <col min="17" max="17" width="7.33203125" style="58" customWidth="1"/>
    <col min="18" max="16384" width="8.88671875" style="58"/>
  </cols>
  <sheetData>
    <row r="2" spans="2:24" ht="18" x14ac:dyDescent="0.3">
      <c r="B2" s="155"/>
      <c r="C2" s="155"/>
      <c r="D2" s="155"/>
      <c r="E2" s="155"/>
      <c r="F2" s="155"/>
      <c r="G2" s="155"/>
      <c r="H2" s="155"/>
      <c r="I2" s="155"/>
      <c r="J2" s="155"/>
      <c r="K2" s="59"/>
      <c r="L2" s="59"/>
      <c r="M2" s="59"/>
      <c r="N2" s="59"/>
      <c r="O2" s="59"/>
      <c r="P2" s="59"/>
    </row>
    <row r="3" spans="2:24" ht="14.4" thickBot="1" x14ac:dyDescent="0.35">
      <c r="B3" s="152" t="s">
        <v>235</v>
      </c>
      <c r="C3" s="152"/>
      <c r="D3" s="152"/>
      <c r="E3" s="152"/>
      <c r="F3" s="152"/>
      <c r="G3" s="152"/>
      <c r="H3" s="152"/>
      <c r="I3" s="152"/>
      <c r="J3" s="152"/>
    </row>
    <row r="4" spans="2:24" ht="48.6" thickBot="1" x14ac:dyDescent="0.35">
      <c r="B4" s="1" t="s">
        <v>0</v>
      </c>
      <c r="C4" s="2" t="s">
        <v>187</v>
      </c>
      <c r="D4" s="2" t="s">
        <v>191</v>
      </c>
      <c r="E4" s="2" t="s">
        <v>2</v>
      </c>
      <c r="F4" s="2" t="s">
        <v>192</v>
      </c>
      <c r="G4" s="2" t="s">
        <v>1</v>
      </c>
      <c r="H4" s="2" t="s">
        <v>193</v>
      </c>
      <c r="I4" s="2" t="s">
        <v>194</v>
      </c>
      <c r="J4" s="2" t="s">
        <v>195</v>
      </c>
      <c r="K4" s="68"/>
      <c r="L4" s="68"/>
      <c r="M4" s="68"/>
      <c r="N4" s="68"/>
      <c r="O4" s="68"/>
      <c r="P4" s="68"/>
      <c r="S4" s="152"/>
      <c r="T4" s="152"/>
      <c r="U4" s="152"/>
      <c r="V4" s="152"/>
      <c r="W4" s="152"/>
      <c r="X4" s="152"/>
    </row>
    <row r="5" spans="2:24" ht="24.6" thickBot="1" x14ac:dyDescent="0.35">
      <c r="B5" s="1">
        <v>1</v>
      </c>
      <c r="C5" s="2" t="s">
        <v>188</v>
      </c>
      <c r="D5" s="5">
        <v>350</v>
      </c>
      <c r="E5" s="4">
        <v>15</v>
      </c>
      <c r="F5" s="3">
        <f>D5*(100-E5)/100</f>
        <v>297.5</v>
      </c>
      <c r="G5" s="4">
        <v>20</v>
      </c>
      <c r="H5" s="3">
        <f>G5*F5/100</f>
        <v>59.5</v>
      </c>
      <c r="I5" s="3">
        <v>100</v>
      </c>
      <c r="J5" s="3">
        <v>100</v>
      </c>
      <c r="K5" s="9"/>
      <c r="L5" s="69"/>
      <c r="M5" s="69"/>
      <c r="N5" s="69"/>
      <c r="O5" s="69"/>
      <c r="P5" s="69"/>
      <c r="S5" s="160" t="s">
        <v>221</v>
      </c>
      <c r="T5" s="160"/>
      <c r="U5" s="160"/>
      <c r="V5" s="160"/>
      <c r="W5" s="160"/>
      <c r="X5" s="160"/>
    </row>
    <row r="6" spans="2:24" ht="36.6" thickBot="1" x14ac:dyDescent="0.35">
      <c r="B6" s="5">
        <v>2</v>
      </c>
      <c r="C6" s="6" t="s">
        <v>189</v>
      </c>
      <c r="D6" s="5">
        <v>70</v>
      </c>
      <c r="E6" s="4">
        <v>12</v>
      </c>
      <c r="F6" s="4">
        <f t="shared" ref="F6:F7" si="0">D6*(100-E6)/100</f>
        <v>61.6</v>
      </c>
      <c r="G6" s="4">
        <v>37</v>
      </c>
      <c r="H6" s="4">
        <f t="shared" ref="H6:H7" si="1">G6*F6/100</f>
        <v>22.792000000000002</v>
      </c>
      <c r="I6" s="4">
        <f>F6/F5*100</f>
        <v>20.705882352941178</v>
      </c>
      <c r="J6" s="4">
        <f>H6/H5*100</f>
        <v>38.305882352941175</v>
      </c>
      <c r="K6" s="153" t="s">
        <v>200</v>
      </c>
      <c r="L6" s="154"/>
      <c r="M6" s="154"/>
      <c r="N6" s="154"/>
      <c r="O6" s="154"/>
      <c r="P6" s="154"/>
      <c r="Q6" s="154"/>
      <c r="S6" s="159"/>
      <c r="T6" s="159"/>
      <c r="U6" s="159"/>
      <c r="V6" s="159"/>
      <c r="W6" s="159"/>
      <c r="X6" s="159"/>
    </row>
    <row r="7" spans="2:24" ht="36.6" thickBot="1" x14ac:dyDescent="0.35">
      <c r="B7" s="1">
        <v>3</v>
      </c>
      <c r="C7" s="2" t="s">
        <v>207</v>
      </c>
      <c r="D7" s="5">
        <v>140</v>
      </c>
      <c r="E7" s="4">
        <v>18</v>
      </c>
      <c r="F7" s="3">
        <f t="shared" si="0"/>
        <v>114.8</v>
      </c>
      <c r="G7" s="4">
        <v>18</v>
      </c>
      <c r="H7" s="3">
        <f t="shared" si="1"/>
        <v>20.664000000000001</v>
      </c>
      <c r="I7" s="3">
        <f>F7/F5*100</f>
        <v>38.588235294117645</v>
      </c>
      <c r="J7" s="3">
        <f>H7/H5*100</f>
        <v>34.729411764705887</v>
      </c>
      <c r="K7" s="17" t="s">
        <v>201</v>
      </c>
      <c r="L7" s="75" t="s">
        <v>202</v>
      </c>
      <c r="M7" s="75" t="s">
        <v>203</v>
      </c>
      <c r="N7" s="75" t="s">
        <v>204</v>
      </c>
      <c r="O7" s="75" t="s">
        <v>205</v>
      </c>
      <c r="P7" s="75" t="s">
        <v>206</v>
      </c>
      <c r="Q7" s="74"/>
      <c r="S7" s="152"/>
      <c r="T7" s="152"/>
      <c r="U7" s="152"/>
      <c r="V7" s="152"/>
      <c r="W7" s="152"/>
      <c r="X7" s="152"/>
    </row>
    <row r="8" spans="2:24" ht="24.6" thickBot="1" x14ac:dyDescent="0.35">
      <c r="B8" s="1">
        <v>4</v>
      </c>
      <c r="C8" s="2" t="s">
        <v>190</v>
      </c>
      <c r="D8" s="1"/>
      <c r="E8" s="1"/>
      <c r="F8" s="3">
        <f>F5-F6-F7</f>
        <v>121.10000000000001</v>
      </c>
      <c r="G8" s="3">
        <f>H8/F8*100</f>
        <v>13.248554913294793</v>
      </c>
      <c r="H8" s="3">
        <f>H5-H6-H7</f>
        <v>16.043999999999997</v>
      </c>
      <c r="I8" s="3">
        <f>I5-I6-I7</f>
        <v>40.705882352941181</v>
      </c>
      <c r="J8" s="3">
        <f>J5-J6-J7</f>
        <v>26.964705882352938</v>
      </c>
      <c r="K8" s="70">
        <f>F8+S8*10</f>
        <v>1660.1</v>
      </c>
      <c r="L8" s="70">
        <f>F8/1.5+S8*10</f>
        <v>1619.7333333333333</v>
      </c>
      <c r="M8" s="70">
        <f>K8/10</f>
        <v>166.01</v>
      </c>
      <c r="N8" s="70">
        <f>L8/10</f>
        <v>161.97333333333333</v>
      </c>
      <c r="O8" s="71" t="s">
        <v>66</v>
      </c>
      <c r="P8" s="165" t="s">
        <v>67</v>
      </c>
      <c r="Q8" s="165"/>
      <c r="S8" s="160">
        <f>162*0.95</f>
        <v>153.9</v>
      </c>
      <c r="T8" s="160"/>
      <c r="U8" s="152"/>
      <c r="V8" s="152"/>
      <c r="W8" s="152"/>
      <c r="X8" s="152"/>
    </row>
    <row r="9" spans="2:24" ht="14.4" thickBot="1" x14ac:dyDescent="0.35">
      <c r="B9" s="158" t="s">
        <v>196</v>
      </c>
      <c r="C9" s="158"/>
      <c r="D9" s="158"/>
      <c r="E9" s="158"/>
      <c r="F9" s="158"/>
      <c r="G9" s="158"/>
      <c r="H9" s="158"/>
      <c r="I9" s="158"/>
      <c r="J9" s="158"/>
      <c r="K9" s="72"/>
      <c r="L9" s="72"/>
      <c r="M9" s="72"/>
      <c r="N9" s="72"/>
      <c r="O9" s="73"/>
      <c r="P9" s="72"/>
      <c r="S9" s="161"/>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350</v>
      </c>
      <c r="E11" s="4">
        <v>15</v>
      </c>
      <c r="F11" s="3">
        <f>D11*(100-E11)/100</f>
        <v>297.5</v>
      </c>
      <c r="G11" s="4">
        <v>28</v>
      </c>
      <c r="H11" s="3">
        <f>G11*F11/100</f>
        <v>83.3</v>
      </c>
      <c r="I11" s="3">
        <v>100</v>
      </c>
      <c r="J11" s="3">
        <v>100</v>
      </c>
      <c r="K11" s="11"/>
      <c r="L11" s="12"/>
      <c r="M11" s="12"/>
      <c r="N11" s="12"/>
      <c r="O11" s="12"/>
      <c r="P11" s="12"/>
    </row>
    <row r="12" spans="2:24" ht="36.6" thickBot="1" x14ac:dyDescent="0.35">
      <c r="B12" s="5">
        <v>2</v>
      </c>
      <c r="C12" s="6" t="s">
        <v>189</v>
      </c>
      <c r="D12" s="5">
        <v>139</v>
      </c>
      <c r="E12" s="4">
        <v>12</v>
      </c>
      <c r="F12" s="4">
        <f t="shared" ref="F12:F13" si="2">D12*(100-E12)/100</f>
        <v>122.32</v>
      </c>
      <c r="G12" s="4">
        <v>40</v>
      </c>
      <c r="H12" s="4">
        <f t="shared" ref="H12:H13" si="3">G12*F12/100</f>
        <v>48.92799999999999</v>
      </c>
      <c r="I12" s="4">
        <f>F12/F11*100</f>
        <v>41.115966386554618</v>
      </c>
      <c r="J12" s="4">
        <f>H12/H11*100</f>
        <v>58.737094837935167</v>
      </c>
      <c r="K12" s="153" t="s">
        <v>200</v>
      </c>
      <c r="L12" s="154"/>
      <c r="M12" s="154"/>
      <c r="N12" s="154"/>
      <c r="O12" s="154"/>
      <c r="P12" s="154"/>
      <c r="Q12" s="154"/>
      <c r="S12" s="152"/>
      <c r="T12" s="152"/>
      <c r="U12" s="152"/>
      <c r="V12" s="152"/>
      <c r="W12" s="152"/>
      <c r="X12" s="152"/>
    </row>
    <row r="13" spans="2:24" ht="36.6" thickBot="1" x14ac:dyDescent="0.35">
      <c r="B13" s="1">
        <v>3</v>
      </c>
      <c r="C13" s="2" t="s">
        <v>207</v>
      </c>
      <c r="D13" s="5">
        <v>80</v>
      </c>
      <c r="E13" s="4">
        <v>18</v>
      </c>
      <c r="F13" s="3">
        <f t="shared" si="2"/>
        <v>65.599999999999994</v>
      </c>
      <c r="G13" s="4">
        <v>22</v>
      </c>
      <c r="H13" s="3">
        <f t="shared" si="3"/>
        <v>14.431999999999999</v>
      </c>
      <c r="I13" s="3">
        <f>F13/F11*100</f>
        <v>22.050420168067227</v>
      </c>
      <c r="J13" s="3">
        <f>H13/H11*100</f>
        <v>17.325330132052823</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109.58000000000001</v>
      </c>
      <c r="G14" s="3">
        <f>H14/F14*100</f>
        <v>18.196751231976645</v>
      </c>
      <c r="H14" s="3">
        <f>H11-H12-H13</f>
        <v>19.940000000000008</v>
      </c>
      <c r="I14" s="3">
        <f>I11-I12-I13</f>
        <v>36.833613445378155</v>
      </c>
      <c r="J14" s="3">
        <f>J11-J12-J13</f>
        <v>23.93757503001201</v>
      </c>
      <c r="K14" s="70">
        <f>F14+S8*10</f>
        <v>1648.58</v>
      </c>
      <c r="L14" s="70">
        <f>F14/1.5+S8*10</f>
        <v>1612.0533333333333</v>
      </c>
      <c r="M14" s="70">
        <f>K14/10</f>
        <v>164.858</v>
      </c>
      <c r="N14" s="70">
        <f>L14/10</f>
        <v>161.20533333333333</v>
      </c>
      <c r="O14" s="71" t="s">
        <v>68</v>
      </c>
      <c r="P14" s="165" t="s">
        <v>20</v>
      </c>
      <c r="Q14" s="165"/>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200</v>
      </c>
      <c r="E18" s="4">
        <v>15</v>
      </c>
      <c r="F18" s="3">
        <f>D18*(100-E18)/100</f>
        <v>170</v>
      </c>
      <c r="G18" s="4">
        <v>22</v>
      </c>
      <c r="H18" s="3">
        <f>G18*F18/100</f>
        <v>37.4</v>
      </c>
      <c r="I18" s="3">
        <v>100</v>
      </c>
      <c r="J18" s="3">
        <v>100</v>
      </c>
      <c r="K18" s="11"/>
      <c r="L18" s="12"/>
      <c r="M18" s="12"/>
      <c r="N18" s="12"/>
      <c r="O18" s="12"/>
    </row>
    <row r="19" spans="2:17" ht="36.6" thickBot="1" x14ac:dyDescent="0.35">
      <c r="B19" s="5">
        <v>2</v>
      </c>
      <c r="C19" s="6" t="s">
        <v>189</v>
      </c>
      <c r="D19" s="5">
        <v>60</v>
      </c>
      <c r="E19" s="4">
        <v>12</v>
      </c>
      <c r="F19" s="4">
        <f t="shared" ref="F19:F20" si="4">D19*(100-E19)/100</f>
        <v>52.8</v>
      </c>
      <c r="G19" s="4">
        <v>36</v>
      </c>
      <c r="H19" s="4">
        <f t="shared" ref="H19:H20" si="5">G19*F19/100</f>
        <v>19.007999999999999</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14.470588235294118</v>
      </c>
      <c r="J20" s="3">
        <f>H20/H18*100</f>
        <v>11.839572192513369</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92.6</v>
      </c>
      <c r="G21" s="3">
        <f>H21/F21*100</f>
        <v>15.079913606911447</v>
      </c>
      <c r="H21" s="3">
        <f>H18-H19-H20</f>
        <v>13.963999999999999</v>
      </c>
      <c r="I21" s="3">
        <f>I18-I19-I20</f>
        <v>54.470588235294116</v>
      </c>
      <c r="J21" s="3">
        <f>J18-J19-J20</f>
        <v>37.336898395721931</v>
      </c>
      <c r="K21" s="70">
        <f>F21+S8*10</f>
        <v>1631.6</v>
      </c>
      <c r="L21" s="70">
        <f>F21/1.5+S8*10</f>
        <v>1600.7333333333333</v>
      </c>
      <c r="M21" s="70">
        <f>K21/10</f>
        <v>163.16</v>
      </c>
      <c r="N21" s="70">
        <f>L21/10</f>
        <v>160.07333333333332</v>
      </c>
      <c r="O21" s="71" t="s">
        <v>69</v>
      </c>
      <c r="P21" s="165" t="s">
        <v>30</v>
      </c>
      <c r="Q21" s="165"/>
    </row>
  </sheetData>
  <mergeCells count="18">
    <mergeCell ref="B2:J2"/>
    <mergeCell ref="B3:J3"/>
    <mergeCell ref="S4:X4"/>
    <mergeCell ref="S5:X5"/>
    <mergeCell ref="K6:Q6"/>
    <mergeCell ref="S6:X6"/>
    <mergeCell ref="S7:X7"/>
    <mergeCell ref="P8:Q8"/>
    <mergeCell ref="S8:T8"/>
    <mergeCell ref="B9:J9"/>
    <mergeCell ref="S9:X10"/>
    <mergeCell ref="U8:X8"/>
    <mergeCell ref="P21:Q21"/>
    <mergeCell ref="K12:Q12"/>
    <mergeCell ref="S12:X16"/>
    <mergeCell ref="P14:Q14"/>
    <mergeCell ref="B15:J16"/>
    <mergeCell ref="K19:Q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21"/>
  <sheetViews>
    <sheetView topLeftCell="B1" workbookViewId="0">
      <selection activeCell="B3" sqref="B3:J3"/>
    </sheetView>
  </sheetViews>
  <sheetFormatPr defaultColWidth="8.88671875" defaultRowHeight="13.8" x14ac:dyDescent="0.3"/>
  <cols>
    <col min="1" max="1" width="0.1093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350</v>
      </c>
      <c r="E5" s="4">
        <v>15</v>
      </c>
      <c r="F5" s="3">
        <f>D5*(100-E5)/100</f>
        <v>297.5</v>
      </c>
      <c r="G5" s="4">
        <v>20</v>
      </c>
      <c r="H5" s="3">
        <f>G5*F5/100</f>
        <v>59.5</v>
      </c>
      <c r="I5" s="3">
        <v>100</v>
      </c>
      <c r="J5" s="3">
        <v>100</v>
      </c>
      <c r="K5" s="9"/>
      <c r="L5" s="10"/>
      <c r="M5" s="10"/>
      <c r="N5" s="10"/>
      <c r="O5" s="10"/>
      <c r="P5" s="10"/>
      <c r="S5" s="160" t="s">
        <v>222</v>
      </c>
      <c r="T5" s="160"/>
      <c r="U5" s="160"/>
      <c r="V5" s="160"/>
      <c r="W5" s="160"/>
      <c r="X5" s="160"/>
    </row>
    <row r="6" spans="2:24" ht="25.2" customHeight="1" thickBot="1" x14ac:dyDescent="0.35">
      <c r="B6" s="5">
        <v>2</v>
      </c>
      <c r="C6" s="6" t="s">
        <v>189</v>
      </c>
      <c r="D6" s="5">
        <v>70</v>
      </c>
      <c r="E6" s="4">
        <v>12</v>
      </c>
      <c r="F6" s="4">
        <f t="shared" ref="F6:F7" si="0">D6*(100-E6)/100</f>
        <v>61.6</v>
      </c>
      <c r="G6" s="4">
        <v>37</v>
      </c>
      <c r="H6" s="4">
        <f t="shared" ref="H6:H7" si="1">G6*F6/100</f>
        <v>22.792000000000002</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140</v>
      </c>
      <c r="E7" s="4">
        <v>18</v>
      </c>
      <c r="F7" s="3">
        <f t="shared" si="0"/>
        <v>114.8</v>
      </c>
      <c r="G7" s="4">
        <v>18</v>
      </c>
      <c r="H7" s="3">
        <f t="shared" si="1"/>
        <v>20.664000000000001</v>
      </c>
      <c r="I7" s="3">
        <f>F7/F5*100</f>
        <v>38.588235294117645</v>
      </c>
      <c r="J7" s="3">
        <f>H7/H5*100</f>
        <v>34.729411764705887</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121.10000000000001</v>
      </c>
      <c r="G8" s="3">
        <f>H8/F8*100</f>
        <v>13.248554913294793</v>
      </c>
      <c r="H8" s="3">
        <f>H5-H6-H7</f>
        <v>16.043999999999997</v>
      </c>
      <c r="I8" s="3">
        <f>I5-I6-I7</f>
        <v>40.705882352941181</v>
      </c>
      <c r="J8" s="3">
        <f>J5-J6-J7</f>
        <v>26.964705882352938</v>
      </c>
      <c r="K8" s="19">
        <f>F8+S8*10</f>
        <v>1660.1</v>
      </c>
      <c r="L8" s="19">
        <f>F8/1.5+S8*10</f>
        <v>1619.7333333333333</v>
      </c>
      <c r="M8" s="19">
        <f>K8/10</f>
        <v>166.01</v>
      </c>
      <c r="N8" s="19">
        <f>L8/10</f>
        <v>161.97333333333333</v>
      </c>
      <c r="O8" s="55" t="s">
        <v>66</v>
      </c>
      <c r="P8" s="162" t="s">
        <v>67</v>
      </c>
      <c r="Q8" s="162"/>
      <c r="S8" s="160">
        <f>162*0.95</f>
        <v>153.9</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1"/>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350</v>
      </c>
      <c r="E11" s="4">
        <v>15</v>
      </c>
      <c r="F11" s="3">
        <f>D11*(100-E11)/100</f>
        <v>297.5</v>
      </c>
      <c r="G11" s="4">
        <v>28</v>
      </c>
      <c r="H11" s="3">
        <f>G11*F11/100</f>
        <v>83.3</v>
      </c>
      <c r="I11" s="3">
        <v>100</v>
      </c>
      <c r="J11" s="3">
        <v>100</v>
      </c>
      <c r="K11" s="11"/>
      <c r="L11" s="12"/>
      <c r="M11" s="12"/>
      <c r="N11" s="12"/>
      <c r="O11" s="12"/>
      <c r="P11" s="12"/>
    </row>
    <row r="12" spans="2:24" ht="36.6" thickBot="1" x14ac:dyDescent="0.35">
      <c r="B12" s="5">
        <v>2</v>
      </c>
      <c r="C12" s="6" t="s">
        <v>189</v>
      </c>
      <c r="D12" s="5">
        <v>139</v>
      </c>
      <c r="E12" s="4">
        <v>12</v>
      </c>
      <c r="F12" s="4">
        <f t="shared" ref="F12:F13" si="2">D12*(100-E12)/100</f>
        <v>122.32</v>
      </c>
      <c r="G12" s="4">
        <v>40</v>
      </c>
      <c r="H12" s="4">
        <f t="shared" ref="H12:H13" si="3">G12*F12/100</f>
        <v>48.92799999999999</v>
      </c>
      <c r="I12" s="4">
        <f>F12/F11*100</f>
        <v>41.115966386554618</v>
      </c>
      <c r="J12" s="4">
        <f>H12/H11*100</f>
        <v>58.737094837935167</v>
      </c>
      <c r="K12" s="153" t="s">
        <v>200</v>
      </c>
      <c r="L12" s="154"/>
      <c r="M12" s="154"/>
      <c r="N12" s="154"/>
      <c r="O12" s="154"/>
      <c r="P12" s="154"/>
      <c r="Q12" s="154"/>
      <c r="S12" s="152"/>
      <c r="T12" s="152"/>
      <c r="U12" s="152"/>
      <c r="V12" s="152"/>
      <c r="W12" s="152"/>
      <c r="X12" s="152"/>
    </row>
    <row r="13" spans="2:24" ht="36.6" thickBot="1" x14ac:dyDescent="0.35">
      <c r="B13" s="1">
        <v>3</v>
      </c>
      <c r="C13" s="2" t="s">
        <v>207</v>
      </c>
      <c r="D13" s="5">
        <v>80</v>
      </c>
      <c r="E13" s="4">
        <v>18</v>
      </c>
      <c r="F13" s="3">
        <f t="shared" si="2"/>
        <v>65.599999999999994</v>
      </c>
      <c r="G13" s="4">
        <v>22</v>
      </c>
      <c r="H13" s="3">
        <f t="shared" si="3"/>
        <v>14.431999999999999</v>
      </c>
      <c r="I13" s="3">
        <f>F13/F11*100</f>
        <v>22.050420168067227</v>
      </c>
      <c r="J13" s="3">
        <f>H13/H11*100</f>
        <v>17.325330132052823</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109.58000000000001</v>
      </c>
      <c r="G14" s="3">
        <f>H14/F14*100</f>
        <v>18.196751231976645</v>
      </c>
      <c r="H14" s="3">
        <f>H11-H12-H13</f>
        <v>19.940000000000008</v>
      </c>
      <c r="I14" s="3">
        <f>I11-I12-I13</f>
        <v>36.833613445378155</v>
      </c>
      <c r="J14" s="3">
        <f>J11-J12-J13</f>
        <v>23.93757503001201</v>
      </c>
      <c r="K14" s="19">
        <f>F14+S8*10</f>
        <v>1648.58</v>
      </c>
      <c r="L14" s="19">
        <f>F14/1.5+S8*10</f>
        <v>1612.0533333333333</v>
      </c>
      <c r="M14" s="19">
        <f>K14/10</f>
        <v>164.858</v>
      </c>
      <c r="N14" s="19">
        <f>L14/10</f>
        <v>161.20533333333333</v>
      </c>
      <c r="O14" s="55" t="s">
        <v>68</v>
      </c>
      <c r="P14" s="162" t="s">
        <v>20</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200</v>
      </c>
      <c r="E18" s="4">
        <v>15</v>
      </c>
      <c r="F18" s="3">
        <f>D18*(100-E18)/100</f>
        <v>170</v>
      </c>
      <c r="G18" s="4">
        <v>22</v>
      </c>
      <c r="H18" s="3">
        <f>G18*F18/100</f>
        <v>37.4</v>
      </c>
      <c r="I18" s="3">
        <v>100</v>
      </c>
      <c r="J18" s="3">
        <v>100</v>
      </c>
      <c r="K18" s="11"/>
      <c r="L18" s="12"/>
      <c r="M18" s="12"/>
      <c r="N18" s="12"/>
      <c r="O18" s="12"/>
    </row>
    <row r="19" spans="2:17" ht="36.6" thickBot="1" x14ac:dyDescent="0.35">
      <c r="B19" s="5">
        <v>2</v>
      </c>
      <c r="C19" s="6" t="s">
        <v>189</v>
      </c>
      <c r="D19" s="5">
        <v>60</v>
      </c>
      <c r="E19" s="4">
        <v>12</v>
      </c>
      <c r="F19" s="4">
        <f t="shared" ref="F19:F20" si="4">D19*(100-E19)/100</f>
        <v>52.8</v>
      </c>
      <c r="G19" s="4">
        <v>36</v>
      </c>
      <c r="H19" s="4">
        <f t="shared" ref="H19:H20" si="5">G19*F19/100</f>
        <v>19.007999999999999</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14.470588235294118</v>
      </c>
      <c r="J20" s="3">
        <f>H20/H18*100</f>
        <v>11.839572192513369</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92.6</v>
      </c>
      <c r="G21" s="3">
        <f>H21/F21*100</f>
        <v>15.079913606911447</v>
      </c>
      <c r="H21" s="3">
        <f>H18-H19-H20</f>
        <v>13.963999999999999</v>
      </c>
      <c r="I21" s="3">
        <f>I18-I19-I20</f>
        <v>54.470588235294116</v>
      </c>
      <c r="J21" s="3">
        <f>J18-J19-J20</f>
        <v>37.336898395721931</v>
      </c>
      <c r="K21" s="19">
        <f>F21+S8*10</f>
        <v>1631.6</v>
      </c>
      <c r="L21" s="19">
        <f>F21/1.5+S8*10</f>
        <v>1600.7333333333333</v>
      </c>
      <c r="M21" s="19">
        <f>K21/10</f>
        <v>163.16</v>
      </c>
      <c r="N21" s="19">
        <f>L21/10</f>
        <v>160.07333333333332</v>
      </c>
      <c r="O21" s="55" t="s">
        <v>69</v>
      </c>
      <c r="P21" s="162" t="s">
        <v>30</v>
      </c>
      <c r="Q21" s="162"/>
    </row>
  </sheetData>
  <mergeCells count="17">
    <mergeCell ref="B2:J2"/>
    <mergeCell ref="B3:J3"/>
    <mergeCell ref="S4:X4"/>
    <mergeCell ref="S5:X5"/>
    <mergeCell ref="K6:Q6"/>
    <mergeCell ref="S6:X6"/>
    <mergeCell ref="S7:X7"/>
    <mergeCell ref="P8:Q8"/>
    <mergeCell ref="S8:T8"/>
    <mergeCell ref="B9:J9"/>
    <mergeCell ref="S9:X10"/>
    <mergeCell ref="P21:Q21"/>
    <mergeCell ref="K12:Q12"/>
    <mergeCell ref="S12:X16"/>
    <mergeCell ref="P14:Q14"/>
    <mergeCell ref="B15:J16"/>
    <mergeCell ref="K19:Q19"/>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X21"/>
  <sheetViews>
    <sheetView topLeftCell="B1" workbookViewId="0">
      <selection activeCell="B3" sqref="B3:J3"/>
    </sheetView>
  </sheetViews>
  <sheetFormatPr defaultColWidth="8.88671875" defaultRowHeight="13.8" x14ac:dyDescent="0.3"/>
  <cols>
    <col min="1" max="1" width="1.886718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20</v>
      </c>
      <c r="H5" s="3">
        <f>G5*F5/100</f>
        <v>51</v>
      </c>
      <c r="I5" s="3">
        <v>100</v>
      </c>
      <c r="J5" s="3">
        <v>100</v>
      </c>
      <c r="K5" s="9"/>
      <c r="L5" s="10"/>
      <c r="M5" s="10"/>
      <c r="N5" s="10"/>
      <c r="O5" s="10"/>
      <c r="P5" s="10"/>
      <c r="S5" s="160" t="s">
        <v>223</v>
      </c>
      <c r="T5" s="160"/>
      <c r="U5" s="160"/>
      <c r="V5" s="160"/>
      <c r="W5" s="160"/>
      <c r="X5" s="160"/>
    </row>
    <row r="6" spans="2:24" ht="25.2" customHeight="1" thickBot="1" x14ac:dyDescent="0.35">
      <c r="B6" s="5">
        <v>2</v>
      </c>
      <c r="C6" s="6" t="s">
        <v>189</v>
      </c>
      <c r="D6" s="5">
        <v>60</v>
      </c>
      <c r="E6" s="4">
        <v>12</v>
      </c>
      <c r="F6" s="4">
        <f t="shared" ref="F6:F7" si="0">D6*(100-E6)/100</f>
        <v>52.8</v>
      </c>
      <c r="G6" s="4">
        <v>37</v>
      </c>
      <c r="H6" s="4">
        <f t="shared" ref="H6:H7" si="1">G6*F6/100</f>
        <v>19.535999999999998</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120</v>
      </c>
      <c r="E7" s="4">
        <v>18</v>
      </c>
      <c r="F7" s="3">
        <f t="shared" si="0"/>
        <v>98.4</v>
      </c>
      <c r="G7" s="4">
        <v>18</v>
      </c>
      <c r="H7" s="3">
        <f t="shared" si="1"/>
        <v>17.712</v>
      </c>
      <c r="I7" s="3">
        <f>F7/F5*100</f>
        <v>38.588235294117652</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103.79999999999998</v>
      </c>
      <c r="G8" s="3">
        <f>H8/F8*100</f>
        <v>13.248554913294802</v>
      </c>
      <c r="H8" s="3">
        <f>H5-H6-H7</f>
        <v>13.752000000000002</v>
      </c>
      <c r="I8" s="3">
        <f>I5-I6-I7</f>
        <v>40.705882352941174</v>
      </c>
      <c r="J8" s="3">
        <f>J5-J6-J7</f>
        <v>26.964705882352945</v>
      </c>
      <c r="K8" s="19">
        <f>F8+S8*10</f>
        <v>1642.8</v>
      </c>
      <c r="L8" s="19">
        <f>F8/1.5+S8*10</f>
        <v>1608.2</v>
      </c>
      <c r="M8" s="19">
        <f>K8/10</f>
        <v>164.28</v>
      </c>
      <c r="N8" s="19">
        <f>L8/10</f>
        <v>160.82</v>
      </c>
      <c r="O8" s="35" t="s">
        <v>74</v>
      </c>
      <c r="P8" s="162" t="s">
        <v>62</v>
      </c>
      <c r="Q8" s="162"/>
      <c r="S8" s="160">
        <f>162*0.95</f>
        <v>153.9</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1"/>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300</v>
      </c>
      <c r="E11" s="4">
        <v>15</v>
      </c>
      <c r="F11" s="3">
        <f>D11*(100-E11)/100</f>
        <v>255</v>
      </c>
      <c r="G11" s="4">
        <v>28</v>
      </c>
      <c r="H11" s="3">
        <f>G11*F11/100</f>
        <v>71.400000000000006</v>
      </c>
      <c r="I11" s="3">
        <v>100</v>
      </c>
      <c r="J11" s="3">
        <v>100</v>
      </c>
      <c r="K11" s="11"/>
      <c r="L11" s="12"/>
      <c r="M11" s="12"/>
      <c r="N11" s="12"/>
      <c r="O11" s="12"/>
      <c r="P11" s="12"/>
    </row>
    <row r="12" spans="2:24" ht="36.6" thickBot="1" x14ac:dyDescent="0.35">
      <c r="B12" s="5">
        <v>2</v>
      </c>
      <c r="C12" s="6" t="s">
        <v>189</v>
      </c>
      <c r="D12" s="5">
        <v>120</v>
      </c>
      <c r="E12" s="4">
        <v>12</v>
      </c>
      <c r="F12" s="4">
        <f t="shared" ref="F12:F13" si="2">D12*(100-E12)/100</f>
        <v>105.6</v>
      </c>
      <c r="G12" s="4">
        <v>40</v>
      </c>
      <c r="H12" s="4">
        <f t="shared" ref="H12:H13" si="3">G12*F12/100</f>
        <v>42.24</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70</v>
      </c>
      <c r="E13" s="4">
        <v>18</v>
      </c>
      <c r="F13" s="3">
        <f t="shared" si="2"/>
        <v>57.4</v>
      </c>
      <c r="G13" s="4">
        <v>22</v>
      </c>
      <c r="H13" s="3">
        <f t="shared" si="3"/>
        <v>12.628</v>
      </c>
      <c r="I13" s="3">
        <f>F13/F11*100</f>
        <v>22.509803921568626</v>
      </c>
      <c r="J13" s="3">
        <f>H13/H11*100</f>
        <v>17.686274509803919</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92</v>
      </c>
      <c r="G14" s="3">
        <f>H14/F14*100</f>
        <v>17.96956521739131</v>
      </c>
      <c r="H14" s="3">
        <f>H11-H12-H13</f>
        <v>16.532000000000004</v>
      </c>
      <c r="I14" s="3">
        <f>I11-I12-I13</f>
        <v>36.078431372549019</v>
      </c>
      <c r="J14" s="3">
        <f>J11-J12-J13</f>
        <v>23.154061624649859</v>
      </c>
      <c r="K14" s="19">
        <f>F14+S8*10</f>
        <v>1631</v>
      </c>
      <c r="L14" s="19">
        <f>F14/1.5+S8*10</f>
        <v>1600.3333333333333</v>
      </c>
      <c r="M14" s="19">
        <f>K14/10</f>
        <v>163.1</v>
      </c>
      <c r="N14" s="19">
        <f>L14/10</f>
        <v>160.03333333333333</v>
      </c>
      <c r="O14" s="35" t="s">
        <v>75</v>
      </c>
      <c r="P14" s="162" t="s">
        <v>21</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150</v>
      </c>
      <c r="E18" s="4">
        <v>15</v>
      </c>
      <c r="F18" s="3">
        <f>D18*(100-E18)/100</f>
        <v>127.5</v>
      </c>
      <c r="G18" s="4">
        <v>22</v>
      </c>
      <c r="H18" s="3">
        <f>G18*F18/100</f>
        <v>28.05</v>
      </c>
      <c r="I18" s="3">
        <v>100</v>
      </c>
      <c r="J18" s="3">
        <v>100</v>
      </c>
      <c r="K18" s="11"/>
      <c r="L18" s="12"/>
      <c r="M18" s="12"/>
      <c r="N18" s="12"/>
      <c r="O18" s="12"/>
    </row>
    <row r="19" spans="2:17" ht="36.6" thickBot="1" x14ac:dyDescent="0.35">
      <c r="B19" s="5">
        <v>2</v>
      </c>
      <c r="C19" s="6" t="s">
        <v>189</v>
      </c>
      <c r="D19" s="5">
        <v>45</v>
      </c>
      <c r="E19" s="4">
        <v>12</v>
      </c>
      <c r="F19" s="4">
        <f t="shared" ref="F19:F20" si="4">D19*(100-E19)/100</f>
        <v>39.6</v>
      </c>
      <c r="G19" s="4">
        <v>36</v>
      </c>
      <c r="H19" s="4">
        <f t="shared" ref="H19:H20" si="5">G19*F19/100</f>
        <v>14.256000000000002</v>
      </c>
      <c r="I19" s="4">
        <f>F19/F18*100</f>
        <v>31.058823529411768</v>
      </c>
      <c r="J19" s="4">
        <f>H19/H18*100</f>
        <v>50.82352941176471</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19.294117647058826</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63.300000000000004</v>
      </c>
      <c r="G21" s="3">
        <f>H21/F21*100</f>
        <v>14.796208530805686</v>
      </c>
      <c r="H21" s="3">
        <f>H18-H19-H20</f>
        <v>9.3659999999999997</v>
      </c>
      <c r="I21" s="3">
        <f>I18-I19-I20</f>
        <v>49.647058823529406</v>
      </c>
      <c r="J21" s="3">
        <f>J18-J19-J20</f>
        <v>33.390374331550795</v>
      </c>
      <c r="K21" s="19">
        <f>F21+S8*10</f>
        <v>1602.3</v>
      </c>
      <c r="L21" s="19">
        <f>F21/1.5+S8*10</f>
        <v>1581.2</v>
      </c>
      <c r="M21" s="19">
        <f>K21/10</f>
        <v>160.22999999999999</v>
      </c>
      <c r="N21" s="19">
        <f>L21/10</f>
        <v>158.12</v>
      </c>
      <c r="O21" s="35" t="s">
        <v>76</v>
      </c>
      <c r="P21" s="162" t="s">
        <v>23</v>
      </c>
      <c r="Q21" s="162"/>
    </row>
  </sheetData>
  <mergeCells count="17">
    <mergeCell ref="B2:J2"/>
    <mergeCell ref="B3:J3"/>
    <mergeCell ref="S4:X4"/>
    <mergeCell ref="S5:X5"/>
    <mergeCell ref="K6:Q6"/>
    <mergeCell ref="S6:X6"/>
    <mergeCell ref="S7:X7"/>
    <mergeCell ref="P8:Q8"/>
    <mergeCell ref="S8:T8"/>
    <mergeCell ref="B9:J9"/>
    <mergeCell ref="S9:X10"/>
    <mergeCell ref="P21:Q21"/>
    <mergeCell ref="K12:Q12"/>
    <mergeCell ref="S12:X16"/>
    <mergeCell ref="P14:Q14"/>
    <mergeCell ref="B15:J16"/>
    <mergeCell ref="K19:Q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X28"/>
  <sheetViews>
    <sheetView topLeftCell="B1" workbookViewId="0">
      <selection activeCell="B3" sqref="B3:J3"/>
    </sheetView>
  </sheetViews>
  <sheetFormatPr defaultColWidth="8.88671875" defaultRowHeight="13.8" x14ac:dyDescent="0.3"/>
  <cols>
    <col min="1" max="1" width="1.886718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200</v>
      </c>
      <c r="E5" s="4">
        <v>15</v>
      </c>
      <c r="F5" s="3">
        <f>D5*(100-E5)/100</f>
        <v>170</v>
      </c>
      <c r="G5" s="4">
        <v>20</v>
      </c>
      <c r="H5" s="3">
        <f>G5*F5/100</f>
        <v>34</v>
      </c>
      <c r="I5" s="3">
        <v>100</v>
      </c>
      <c r="J5" s="3">
        <v>100</v>
      </c>
      <c r="K5" s="9"/>
      <c r="L5" s="10"/>
      <c r="M5" s="10"/>
      <c r="N5" s="10"/>
      <c r="O5" s="10"/>
      <c r="P5" s="10"/>
      <c r="S5" s="164" t="s">
        <v>224</v>
      </c>
      <c r="T5" s="164"/>
      <c r="U5" s="164"/>
      <c r="V5" s="164"/>
      <c r="W5" s="164"/>
      <c r="X5" s="164"/>
    </row>
    <row r="6" spans="2:24" ht="25.2" customHeight="1" thickBot="1" x14ac:dyDescent="0.35">
      <c r="B6" s="5">
        <v>2</v>
      </c>
      <c r="C6" s="6" t="s">
        <v>189</v>
      </c>
      <c r="D6" s="5">
        <v>40</v>
      </c>
      <c r="E6" s="4">
        <v>12</v>
      </c>
      <c r="F6" s="4">
        <f t="shared" ref="F6:F7" si="0">D6*(100-E6)/100</f>
        <v>35.200000000000003</v>
      </c>
      <c r="G6" s="4">
        <v>37</v>
      </c>
      <c r="H6" s="4">
        <f t="shared" ref="H6:H7" si="1">G6*F6/100</f>
        <v>13.024000000000001</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80</v>
      </c>
      <c r="E7" s="4">
        <v>18</v>
      </c>
      <c r="F7" s="3">
        <f t="shared" si="0"/>
        <v>65.599999999999994</v>
      </c>
      <c r="G7" s="4">
        <v>18</v>
      </c>
      <c r="H7" s="3">
        <f t="shared" si="1"/>
        <v>11.808</v>
      </c>
      <c r="I7" s="3">
        <f>F7/F5*100</f>
        <v>38.588235294117645</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69.200000000000017</v>
      </c>
      <c r="G8" s="3">
        <f>H8/F8*100</f>
        <v>13.248554913294793</v>
      </c>
      <c r="H8" s="3">
        <f>H5-H6-H7</f>
        <v>9.1679999999999993</v>
      </c>
      <c r="I8" s="3">
        <f>I5-I6-I7</f>
        <v>40.705882352941167</v>
      </c>
      <c r="J8" s="3">
        <f>J5-J6-J7</f>
        <v>26.964705882352945</v>
      </c>
      <c r="K8" s="19">
        <f>F8+S8*8</f>
        <v>1361.2</v>
      </c>
      <c r="L8" s="19">
        <f>F8/1.5+S8*8</f>
        <v>1338.1333333333334</v>
      </c>
      <c r="M8" s="19">
        <f>K8/8</f>
        <v>170.15</v>
      </c>
      <c r="N8" s="19">
        <f>L8/8</f>
        <v>167.26666666666668</v>
      </c>
      <c r="O8" s="35" t="s">
        <v>41</v>
      </c>
      <c r="P8" s="162" t="s">
        <v>6</v>
      </c>
      <c r="Q8" s="162"/>
      <c r="S8" s="160">
        <f>170*0.95</f>
        <v>161.5</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1"/>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200</v>
      </c>
      <c r="E11" s="4">
        <v>15</v>
      </c>
      <c r="F11" s="3">
        <f>D11*(100-E11)/100</f>
        <v>170</v>
      </c>
      <c r="G11" s="4">
        <v>28</v>
      </c>
      <c r="H11" s="3">
        <f>G11*F11/100</f>
        <v>47.6</v>
      </c>
      <c r="I11" s="3">
        <v>100</v>
      </c>
      <c r="J11" s="3">
        <v>100</v>
      </c>
      <c r="K11" s="11"/>
      <c r="L11" s="12"/>
      <c r="M11" s="12"/>
      <c r="N11" s="12"/>
      <c r="O11" s="12"/>
      <c r="P11" s="12"/>
    </row>
    <row r="12" spans="2:24" ht="36.6" thickBot="1" x14ac:dyDescent="0.35">
      <c r="B12" s="5">
        <v>2</v>
      </c>
      <c r="C12" s="6" t="s">
        <v>189</v>
      </c>
      <c r="D12" s="5">
        <v>80</v>
      </c>
      <c r="E12" s="4">
        <v>12</v>
      </c>
      <c r="F12" s="4">
        <f t="shared" ref="F12:F13" si="2">D12*(100-E12)/100</f>
        <v>70.400000000000006</v>
      </c>
      <c r="G12" s="4">
        <v>40</v>
      </c>
      <c r="H12" s="4">
        <f t="shared" ref="H12:H13" si="3">G12*F12/100</f>
        <v>28.16</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45</v>
      </c>
      <c r="E13" s="4">
        <v>18</v>
      </c>
      <c r="F13" s="3">
        <f t="shared" si="2"/>
        <v>36.9</v>
      </c>
      <c r="G13" s="4">
        <v>22</v>
      </c>
      <c r="H13" s="3">
        <f t="shared" si="3"/>
        <v>8.1180000000000003</v>
      </c>
      <c r="I13" s="3">
        <f>F13/F11*100</f>
        <v>21.705882352941174</v>
      </c>
      <c r="J13" s="3">
        <f>H13/H11*100</f>
        <v>17.054621848739497</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62.699999999999996</v>
      </c>
      <c r="G14" s="3">
        <f>H14/F14*100</f>
        <v>18.057416267942585</v>
      </c>
      <c r="H14" s="3">
        <f>H11-H12-H13</f>
        <v>11.322000000000001</v>
      </c>
      <c r="I14" s="3">
        <f>I11-I12-I13</f>
        <v>36.882352941176464</v>
      </c>
      <c r="J14" s="3">
        <f>J11-J12-J13</f>
        <v>23.785714285714281</v>
      </c>
      <c r="K14" s="19">
        <f>F14+S8*8</f>
        <v>1354.7</v>
      </c>
      <c r="L14" s="19">
        <f>F14/1.5+S8*8</f>
        <v>1333.8</v>
      </c>
      <c r="M14" s="19">
        <f>K14/8</f>
        <v>169.33750000000001</v>
      </c>
      <c r="N14" s="19">
        <f>L14/8</f>
        <v>166.72499999999999</v>
      </c>
      <c r="O14" s="35" t="s">
        <v>20</v>
      </c>
      <c r="P14" s="162" t="s">
        <v>9</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50</v>
      </c>
      <c r="E18" s="4">
        <v>15</v>
      </c>
      <c r="F18" s="3">
        <f>D18*(100-E18)/100</f>
        <v>42.5</v>
      </c>
      <c r="G18" s="4">
        <v>22</v>
      </c>
      <c r="H18" s="3">
        <f>G18*F18/100</f>
        <v>9.35</v>
      </c>
      <c r="I18" s="3">
        <v>100</v>
      </c>
      <c r="J18" s="3">
        <v>100</v>
      </c>
      <c r="K18" s="11"/>
      <c r="L18" s="12"/>
      <c r="M18" s="12"/>
      <c r="N18" s="12"/>
      <c r="O18" s="12"/>
    </row>
    <row r="19" spans="2:17" ht="36.6" thickBot="1" x14ac:dyDescent="0.35">
      <c r="B19" s="5">
        <v>2</v>
      </c>
      <c r="C19" s="6" t="s">
        <v>189</v>
      </c>
      <c r="D19" s="5">
        <v>15</v>
      </c>
      <c r="E19" s="4">
        <v>12</v>
      </c>
      <c r="F19" s="4">
        <f t="shared" ref="F19:F20" si="4">D19*(100-E19)/100</f>
        <v>13.2</v>
      </c>
      <c r="G19" s="4">
        <v>36</v>
      </c>
      <c r="H19" s="4">
        <f t="shared" ref="H19:H20" si="5">G19*F19/100</f>
        <v>4.7519999999999998</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10</v>
      </c>
      <c r="E20" s="4">
        <v>18</v>
      </c>
      <c r="F20" s="3">
        <f t="shared" si="4"/>
        <v>8.1999999999999993</v>
      </c>
      <c r="G20" s="4">
        <v>18</v>
      </c>
      <c r="H20" s="3">
        <f t="shared" si="5"/>
        <v>1.476</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21.1</v>
      </c>
      <c r="G21" s="3">
        <f>H21/F21*100</f>
        <v>14.796208530805686</v>
      </c>
      <c r="H21" s="3">
        <f>H18-H19-H20</f>
        <v>3.1219999999999999</v>
      </c>
      <c r="I21" s="3">
        <f>I18-I19-I20</f>
        <v>49.647058823529406</v>
      </c>
      <c r="J21" s="3">
        <f>J18-J19-J20</f>
        <v>33.390374331550802</v>
      </c>
      <c r="K21" s="19">
        <f>F21+S8*8</f>
        <v>1313.1</v>
      </c>
      <c r="L21" s="19">
        <f>F21/1.5+S8*8</f>
        <v>1306.0666666666666</v>
      </c>
      <c r="M21" s="19">
        <f>K21/8</f>
        <v>164.13749999999999</v>
      </c>
      <c r="N21" s="19">
        <f>L21/8</f>
        <v>163.25833333333333</v>
      </c>
      <c r="O21" s="35" t="s">
        <v>42</v>
      </c>
      <c r="P21" s="162" t="s">
        <v>43</v>
      </c>
      <c r="Q21" s="162"/>
    </row>
    <row r="22" spans="2:17" x14ac:dyDescent="0.3">
      <c r="B22" s="156" t="s">
        <v>208</v>
      </c>
      <c r="C22" s="156"/>
      <c r="D22" s="156"/>
      <c r="E22" s="156"/>
      <c r="F22" s="156"/>
      <c r="G22" s="156"/>
      <c r="H22" s="156"/>
      <c r="I22" s="156"/>
      <c r="J22" s="156"/>
    </row>
    <row r="23" spans="2:17" ht="14.4" thickBot="1" x14ac:dyDescent="0.35">
      <c r="B23" s="157"/>
      <c r="C23" s="157"/>
      <c r="D23" s="157"/>
      <c r="E23" s="157"/>
      <c r="F23" s="157"/>
      <c r="G23" s="157"/>
      <c r="H23" s="157"/>
      <c r="I23" s="157"/>
      <c r="J23" s="157"/>
    </row>
    <row r="24" spans="2:17" ht="48.6" thickBot="1" x14ac:dyDescent="0.35">
      <c r="B24" s="1" t="s">
        <v>0</v>
      </c>
      <c r="C24" s="2" t="s">
        <v>187</v>
      </c>
      <c r="D24" s="2" t="s">
        <v>191</v>
      </c>
      <c r="E24" s="2" t="s">
        <v>2</v>
      </c>
      <c r="F24" s="2" t="s">
        <v>192</v>
      </c>
      <c r="G24" s="2" t="s">
        <v>1</v>
      </c>
      <c r="H24" s="2" t="s">
        <v>193</v>
      </c>
      <c r="I24" s="2" t="s">
        <v>194</v>
      </c>
      <c r="J24" s="2" t="s">
        <v>195</v>
      </c>
    </row>
    <row r="25" spans="2:17" ht="24.6" thickBot="1" x14ac:dyDescent="0.35">
      <c r="B25" s="1">
        <v>1</v>
      </c>
      <c r="C25" s="2" t="s">
        <v>188</v>
      </c>
      <c r="D25" s="5">
        <v>150</v>
      </c>
      <c r="E25" s="4">
        <v>15</v>
      </c>
      <c r="F25" s="3">
        <f>D25*(100-E25)/100</f>
        <v>127.5</v>
      </c>
      <c r="G25" s="4">
        <v>14</v>
      </c>
      <c r="H25" s="3">
        <f>G25*F25/100</f>
        <v>17.850000000000001</v>
      </c>
      <c r="I25" s="3">
        <v>100</v>
      </c>
      <c r="J25" s="3">
        <v>100</v>
      </c>
    </row>
    <row r="26" spans="2:17" ht="36.6" thickBot="1" x14ac:dyDescent="0.35">
      <c r="B26" s="5">
        <v>2</v>
      </c>
      <c r="C26" s="6" t="s">
        <v>189</v>
      </c>
      <c r="D26" s="5">
        <v>15</v>
      </c>
      <c r="E26" s="4">
        <v>12</v>
      </c>
      <c r="F26" s="4">
        <f t="shared" ref="F26:F27" si="6">D26*(100-E26)/100</f>
        <v>13.2</v>
      </c>
      <c r="G26" s="4">
        <v>36</v>
      </c>
      <c r="H26" s="4">
        <f t="shared" ref="H26:H27" si="7">G26*F26/100</f>
        <v>4.7519999999999998</v>
      </c>
      <c r="I26" s="4">
        <f>F26/F25*100</f>
        <v>10.352941176470589</v>
      </c>
      <c r="J26" s="4">
        <f>H26/H25*100</f>
        <v>26.621848739495796</v>
      </c>
      <c r="K26" s="153" t="s">
        <v>200</v>
      </c>
      <c r="L26" s="154"/>
      <c r="M26" s="154"/>
      <c r="N26" s="154"/>
      <c r="O26" s="154"/>
      <c r="P26" s="154"/>
      <c r="Q26" s="154"/>
    </row>
    <row r="27" spans="2:17" ht="36.6" thickBot="1" x14ac:dyDescent="0.35">
      <c r="B27" s="1">
        <v>3</v>
      </c>
      <c r="C27" s="2" t="s">
        <v>207</v>
      </c>
      <c r="D27" s="5">
        <v>100</v>
      </c>
      <c r="E27" s="4">
        <v>18</v>
      </c>
      <c r="F27" s="3">
        <f t="shared" si="6"/>
        <v>82</v>
      </c>
      <c r="G27" s="4">
        <v>12</v>
      </c>
      <c r="H27" s="3">
        <f t="shared" si="7"/>
        <v>9.84</v>
      </c>
      <c r="I27" s="3">
        <f>F27/F25*100</f>
        <v>64.313725490196077</v>
      </c>
      <c r="J27" s="3">
        <f>H27/H25*100</f>
        <v>55.126050420168063</v>
      </c>
      <c r="K27" s="17" t="s">
        <v>10</v>
      </c>
      <c r="L27" s="49" t="s">
        <v>24</v>
      </c>
      <c r="M27" s="49" t="s">
        <v>11</v>
      </c>
      <c r="N27" s="49" t="s">
        <v>25</v>
      </c>
      <c r="O27" s="49" t="s">
        <v>18</v>
      </c>
      <c r="P27" s="166" t="s">
        <v>13</v>
      </c>
      <c r="Q27" s="166"/>
    </row>
    <row r="28" spans="2:17" ht="24.6" thickBot="1" x14ac:dyDescent="0.35">
      <c r="B28" s="1">
        <v>4</v>
      </c>
      <c r="C28" s="2" t="s">
        <v>190</v>
      </c>
      <c r="D28" s="1"/>
      <c r="E28" s="1"/>
      <c r="F28" s="3">
        <f>F25-F26-F27</f>
        <v>32.299999999999997</v>
      </c>
      <c r="G28" s="3">
        <f>H28/F28*100</f>
        <v>10.086687306501558</v>
      </c>
      <c r="H28" s="3">
        <f>H25-H26-H27</f>
        <v>3.2580000000000027</v>
      </c>
      <c r="I28" s="3">
        <f>I25-I26-I27</f>
        <v>25.333333333333329</v>
      </c>
      <c r="J28" s="3">
        <f>J25-J26-J27</f>
        <v>18.252100840336148</v>
      </c>
      <c r="K28" s="48">
        <f>F28+S8*8</f>
        <v>1324.3</v>
      </c>
      <c r="L28" s="51">
        <f>F28/1.5+S8*8</f>
        <v>1313.5333333333333</v>
      </c>
      <c r="M28" s="51">
        <f>K28/8</f>
        <v>165.53749999999999</v>
      </c>
      <c r="N28" s="51">
        <f>L28/8</f>
        <v>164.19166666666666</v>
      </c>
      <c r="O28" s="21" t="s">
        <v>53</v>
      </c>
      <c r="P28" s="167" t="s">
        <v>27</v>
      </c>
      <c r="Q28" s="167"/>
    </row>
  </sheetData>
  <mergeCells count="21">
    <mergeCell ref="B22:J23"/>
    <mergeCell ref="P27:Q27"/>
    <mergeCell ref="K26:Q26"/>
    <mergeCell ref="P28:Q28"/>
    <mergeCell ref="B2:J2"/>
    <mergeCell ref="B3:J3"/>
    <mergeCell ref="K19:Q19"/>
    <mergeCell ref="P21:Q21"/>
    <mergeCell ref="S4:X4"/>
    <mergeCell ref="S5:X5"/>
    <mergeCell ref="K6:Q6"/>
    <mergeCell ref="S6:X6"/>
    <mergeCell ref="B15:J16"/>
    <mergeCell ref="S7:X7"/>
    <mergeCell ref="P8:Q8"/>
    <mergeCell ref="S8:T8"/>
    <mergeCell ref="B9:J9"/>
    <mergeCell ref="S9:X10"/>
    <mergeCell ref="K12:Q12"/>
    <mergeCell ref="S12:X16"/>
    <mergeCell ref="P14:Q14"/>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X21"/>
  <sheetViews>
    <sheetView topLeftCell="B1" workbookViewId="0">
      <selection activeCell="B3" sqref="B3:J3"/>
    </sheetView>
  </sheetViews>
  <sheetFormatPr defaultColWidth="8.88671875" defaultRowHeight="13.8" x14ac:dyDescent="0.3"/>
  <cols>
    <col min="1" max="1" width="1.886718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20</v>
      </c>
      <c r="H5" s="3">
        <f>G5*F5/100</f>
        <v>51</v>
      </c>
      <c r="I5" s="3">
        <v>100</v>
      </c>
      <c r="J5" s="3">
        <v>100</v>
      </c>
      <c r="K5" s="9"/>
      <c r="L5" s="10"/>
      <c r="M5" s="10"/>
      <c r="N5" s="10"/>
      <c r="O5" s="10"/>
      <c r="P5" s="10"/>
      <c r="S5" s="164" t="s">
        <v>225</v>
      </c>
      <c r="T5" s="164"/>
      <c r="U5" s="164"/>
      <c r="V5" s="164"/>
      <c r="W5" s="164"/>
      <c r="X5" s="164"/>
    </row>
    <row r="6" spans="2:24" ht="25.2" customHeight="1" thickBot="1" x14ac:dyDescent="0.35">
      <c r="B6" s="5">
        <v>2</v>
      </c>
      <c r="C6" s="6" t="s">
        <v>189</v>
      </c>
      <c r="D6" s="5">
        <v>60</v>
      </c>
      <c r="E6" s="4">
        <v>12</v>
      </c>
      <c r="F6" s="4">
        <f t="shared" ref="F6:F7" si="0">D6*(100-E6)/100</f>
        <v>52.8</v>
      </c>
      <c r="G6" s="4">
        <v>37</v>
      </c>
      <c r="H6" s="4">
        <f t="shared" ref="H6:H7" si="1">G6*F6/100</f>
        <v>19.535999999999998</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120</v>
      </c>
      <c r="E7" s="4">
        <v>18</v>
      </c>
      <c r="F7" s="3">
        <f t="shared" si="0"/>
        <v>98.4</v>
      </c>
      <c r="G7" s="4">
        <v>18</v>
      </c>
      <c r="H7" s="3">
        <f t="shared" si="1"/>
        <v>17.712</v>
      </c>
      <c r="I7" s="3">
        <f>F7/F5*100</f>
        <v>38.588235294117652</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103.79999999999998</v>
      </c>
      <c r="G8" s="3">
        <f>H8/F8*100</f>
        <v>13.248554913294802</v>
      </c>
      <c r="H8" s="3">
        <f>H5-H6-H7</f>
        <v>13.752000000000002</v>
      </c>
      <c r="I8" s="3">
        <f>I5-I6-I7</f>
        <v>40.705882352941174</v>
      </c>
      <c r="J8" s="3">
        <f>J5-J6-J7</f>
        <v>26.964705882352945</v>
      </c>
      <c r="K8" s="19">
        <f>F8+S8*10</f>
        <v>2392.3000000000002</v>
      </c>
      <c r="L8" s="19">
        <f>F8/1.5+S8*10</f>
        <v>2357.6999999999998</v>
      </c>
      <c r="M8" s="19">
        <f>K8/10</f>
        <v>239.23000000000002</v>
      </c>
      <c r="N8" s="19">
        <f>L8/10</f>
        <v>235.76999999999998</v>
      </c>
      <c r="O8" s="35" t="s">
        <v>44</v>
      </c>
      <c r="P8" s="162" t="s">
        <v>51</v>
      </c>
      <c r="Q8" s="162"/>
      <c r="S8" s="160">
        <f>290*0.95*0.7+40*0.9</f>
        <v>228.85</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1" t="s">
        <v>227</v>
      </c>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300</v>
      </c>
      <c r="E11" s="4">
        <v>15</v>
      </c>
      <c r="F11" s="3">
        <f>D11*(100-E11)/100</f>
        <v>255</v>
      </c>
      <c r="G11" s="4">
        <v>28</v>
      </c>
      <c r="H11" s="3">
        <f>G11*F11/100</f>
        <v>71.400000000000006</v>
      </c>
      <c r="I11" s="3">
        <v>100</v>
      </c>
      <c r="J11" s="3">
        <v>100</v>
      </c>
      <c r="K11" s="11"/>
      <c r="L11" s="12"/>
      <c r="M11" s="12"/>
      <c r="N11" s="12"/>
      <c r="O11" s="12"/>
      <c r="P11" s="12"/>
    </row>
    <row r="12" spans="2:24" ht="36.6" thickBot="1" x14ac:dyDescent="0.35">
      <c r="B12" s="5">
        <v>2</v>
      </c>
      <c r="C12" s="6" t="s">
        <v>189</v>
      </c>
      <c r="D12" s="5">
        <v>120</v>
      </c>
      <c r="E12" s="4">
        <v>12</v>
      </c>
      <c r="F12" s="4">
        <f t="shared" ref="F12:F13" si="2">D12*(100-E12)/100</f>
        <v>105.6</v>
      </c>
      <c r="G12" s="4">
        <v>40</v>
      </c>
      <c r="H12" s="4">
        <f t="shared" ref="H12:H13" si="3">G12*F12/100</f>
        <v>42.24</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70</v>
      </c>
      <c r="E13" s="4">
        <v>18</v>
      </c>
      <c r="F13" s="3">
        <f t="shared" si="2"/>
        <v>57.4</v>
      </c>
      <c r="G13" s="4">
        <v>22</v>
      </c>
      <c r="H13" s="3">
        <f t="shared" si="3"/>
        <v>12.628</v>
      </c>
      <c r="I13" s="3">
        <f>F13/F11*100</f>
        <v>22.509803921568626</v>
      </c>
      <c r="J13" s="3">
        <f>H13/H11*100</f>
        <v>17.686274509803919</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92</v>
      </c>
      <c r="G14" s="3">
        <f>H14/F14*100</f>
        <v>17.96956521739131</v>
      </c>
      <c r="H14" s="3">
        <f>H11-H12-H13</f>
        <v>16.532000000000004</v>
      </c>
      <c r="I14" s="3">
        <f>I11-I12-I13</f>
        <v>36.078431372549019</v>
      </c>
      <c r="J14" s="3">
        <f>J11-J12-J13</f>
        <v>23.154061624649859</v>
      </c>
      <c r="K14" s="19">
        <f>F14+S8*10</f>
        <v>2380.5</v>
      </c>
      <c r="L14" s="19">
        <f>F14/1.5+S8*10</f>
        <v>2349.8333333333335</v>
      </c>
      <c r="M14" s="19">
        <f>K14/10</f>
        <v>238.05</v>
      </c>
      <c r="N14" s="19">
        <f>L14/10</f>
        <v>234.98333333333335</v>
      </c>
      <c r="O14" s="35" t="s">
        <v>21</v>
      </c>
      <c r="P14" s="162" t="s">
        <v>22</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120</v>
      </c>
      <c r="E18" s="4">
        <v>15</v>
      </c>
      <c r="F18" s="3">
        <f>D18*(100-E18)/100</f>
        <v>102</v>
      </c>
      <c r="G18" s="4">
        <v>22</v>
      </c>
      <c r="H18" s="3">
        <f>G18*F18/100</f>
        <v>22.44</v>
      </c>
      <c r="I18" s="3">
        <v>100</v>
      </c>
      <c r="J18" s="3">
        <v>100</v>
      </c>
      <c r="K18" s="11"/>
      <c r="L18" s="12"/>
      <c r="M18" s="12"/>
      <c r="N18" s="12"/>
      <c r="O18" s="12"/>
    </row>
    <row r="19" spans="2:17" ht="36.6" thickBot="1" x14ac:dyDescent="0.35">
      <c r="B19" s="5">
        <v>2</v>
      </c>
      <c r="C19" s="6" t="s">
        <v>189</v>
      </c>
      <c r="D19" s="5">
        <v>35</v>
      </c>
      <c r="E19" s="4">
        <v>12</v>
      </c>
      <c r="F19" s="4">
        <f t="shared" ref="F19:F20" si="4">D19*(100-E19)/100</f>
        <v>30.8</v>
      </c>
      <c r="G19" s="4">
        <v>36</v>
      </c>
      <c r="H19" s="4">
        <f t="shared" ref="H19:H20" si="5">G19*F19/100</f>
        <v>11.087999999999999</v>
      </c>
      <c r="I19" s="4">
        <f>F19/F18*100</f>
        <v>30.196078431372548</v>
      </c>
      <c r="J19" s="4">
        <f>H19/H18*100</f>
        <v>49.411764705882341</v>
      </c>
      <c r="K19" s="153" t="s">
        <v>200</v>
      </c>
      <c r="L19" s="154"/>
      <c r="M19" s="154"/>
      <c r="N19" s="154"/>
      <c r="O19" s="154"/>
      <c r="P19" s="154"/>
      <c r="Q19" s="154"/>
    </row>
    <row r="20" spans="2:17" ht="36.6" thickBot="1" x14ac:dyDescent="0.35">
      <c r="B20" s="1">
        <v>3</v>
      </c>
      <c r="C20" s="2" t="s">
        <v>207</v>
      </c>
      <c r="D20" s="5">
        <v>25</v>
      </c>
      <c r="E20" s="4">
        <v>18</v>
      </c>
      <c r="F20" s="3">
        <f t="shared" si="4"/>
        <v>20.5</v>
      </c>
      <c r="G20" s="4">
        <v>18</v>
      </c>
      <c r="H20" s="3">
        <f t="shared" si="5"/>
        <v>3.69</v>
      </c>
      <c r="I20" s="3">
        <f>F20/F18*100</f>
        <v>20.098039215686274</v>
      </c>
      <c r="J20" s="3">
        <f>H20/H18*100</f>
        <v>16.443850267379677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50.7</v>
      </c>
      <c r="G21" s="3">
        <f>H21/F21*100</f>
        <v>15.112426035502963</v>
      </c>
      <c r="H21" s="3">
        <f>H18-H19-H20</f>
        <v>7.6620000000000026</v>
      </c>
      <c r="I21" s="3">
        <f>I18-I19-I20</f>
        <v>49.705882352941188</v>
      </c>
      <c r="J21" s="3">
        <f>J18-J19-J20</f>
        <v>34.144385026737979</v>
      </c>
      <c r="K21" s="19">
        <f>F21+S8*10</f>
        <v>2339.1999999999998</v>
      </c>
      <c r="L21" s="19">
        <f>F21/1.5+S8*10</f>
        <v>2322.3000000000002</v>
      </c>
      <c r="M21" s="19">
        <f>K21/10</f>
        <v>233.92</v>
      </c>
      <c r="N21" s="19">
        <f>L21/10</f>
        <v>232.23000000000002</v>
      </c>
      <c r="O21" s="35" t="s">
        <v>57</v>
      </c>
      <c r="P21" s="162" t="s">
        <v>29</v>
      </c>
      <c r="Q21" s="162"/>
    </row>
  </sheetData>
  <mergeCells count="17">
    <mergeCell ref="B2:J2"/>
    <mergeCell ref="B3:J3"/>
    <mergeCell ref="S4:X4"/>
    <mergeCell ref="S5:X5"/>
    <mergeCell ref="K6:Q6"/>
    <mergeCell ref="S6:X6"/>
    <mergeCell ref="S7:X7"/>
    <mergeCell ref="P8:Q8"/>
    <mergeCell ref="S8:T8"/>
    <mergeCell ref="B9:J9"/>
    <mergeCell ref="S9:X10"/>
    <mergeCell ref="P21:Q21"/>
    <mergeCell ref="K12:Q12"/>
    <mergeCell ref="S12:X16"/>
    <mergeCell ref="P14:Q14"/>
    <mergeCell ref="B15:J16"/>
    <mergeCell ref="K19:Q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X21"/>
  <sheetViews>
    <sheetView topLeftCell="B1" workbookViewId="0">
      <selection activeCell="B3" sqref="B3:J3"/>
    </sheetView>
  </sheetViews>
  <sheetFormatPr defaultColWidth="8.88671875" defaultRowHeight="13.8" x14ac:dyDescent="0.3"/>
  <cols>
    <col min="1" max="1" width="1.88671875" style="33" customWidth="1"/>
    <col min="2" max="2" width="4.109375" style="33" customWidth="1"/>
    <col min="3" max="3" width="14.44140625" style="33" customWidth="1"/>
    <col min="4" max="4" width="10.33203125" style="33" customWidth="1"/>
    <col min="5" max="5" width="6.33203125" style="33" customWidth="1"/>
    <col min="6" max="6" width="10.6640625" style="33" customWidth="1"/>
    <col min="7" max="7" width="8.5546875" style="33" customWidth="1"/>
    <col min="8" max="8" width="9.88671875" style="33" customWidth="1"/>
    <col min="9" max="9" width="10.88671875" style="33" customWidth="1"/>
    <col min="10" max="10" width="11.44140625" style="33" customWidth="1"/>
    <col min="11" max="11" width="15.6640625" style="33" customWidth="1"/>
    <col min="12" max="12" width="16.88671875" style="33" customWidth="1"/>
    <col min="13" max="13" width="11.44140625" style="33" customWidth="1"/>
    <col min="14" max="14" width="14.44140625" style="33" customWidth="1"/>
    <col min="15" max="15" width="16.6640625" style="33" customWidth="1"/>
    <col min="16" max="16" width="11.44140625" style="33" customWidth="1"/>
    <col min="17" max="17" width="7.33203125" style="33" customWidth="1"/>
    <col min="18" max="16384" width="8.88671875" style="33"/>
  </cols>
  <sheetData>
    <row r="1" spans="2:24" ht="15.6" customHeight="1" x14ac:dyDescent="0.3"/>
    <row r="2" spans="2:24" ht="20.399999999999999" customHeight="1" x14ac:dyDescent="0.3">
      <c r="B2" s="155"/>
      <c r="C2" s="155"/>
      <c r="D2" s="155"/>
      <c r="E2" s="155"/>
      <c r="F2" s="155"/>
      <c r="G2" s="155"/>
      <c r="H2" s="155"/>
      <c r="I2" s="155"/>
      <c r="J2" s="155"/>
      <c r="K2" s="34"/>
      <c r="L2" s="34"/>
      <c r="M2" s="34"/>
      <c r="N2" s="34"/>
      <c r="O2" s="34"/>
      <c r="P2" s="3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120</v>
      </c>
      <c r="E5" s="4">
        <v>15</v>
      </c>
      <c r="F5" s="3">
        <f>D5*(100-E5)/100</f>
        <v>102</v>
      </c>
      <c r="G5" s="4">
        <v>20</v>
      </c>
      <c r="H5" s="3">
        <f>G5*F5/100</f>
        <v>20.399999999999999</v>
      </c>
      <c r="I5" s="3">
        <v>100</v>
      </c>
      <c r="J5" s="3">
        <v>100</v>
      </c>
      <c r="K5" s="9"/>
      <c r="L5" s="10"/>
      <c r="M5" s="10"/>
      <c r="N5" s="10"/>
      <c r="O5" s="10"/>
      <c r="P5" s="10"/>
      <c r="S5" s="164" t="s">
        <v>228</v>
      </c>
      <c r="T5" s="164"/>
      <c r="U5" s="164"/>
      <c r="V5" s="164"/>
      <c r="W5" s="164"/>
      <c r="X5" s="164"/>
    </row>
    <row r="6" spans="2:24" ht="25.2" customHeight="1" thickBot="1" x14ac:dyDescent="0.35">
      <c r="B6" s="5">
        <v>2</v>
      </c>
      <c r="C6" s="6" t="s">
        <v>189</v>
      </c>
      <c r="D6" s="5">
        <v>24</v>
      </c>
      <c r="E6" s="4">
        <v>12</v>
      </c>
      <c r="F6" s="4">
        <f t="shared" ref="F6:F7" si="0">D6*(100-E6)/100</f>
        <v>21.12</v>
      </c>
      <c r="G6" s="4">
        <v>37</v>
      </c>
      <c r="H6" s="4">
        <f t="shared" ref="H6:H7" si="1">G6*F6/100</f>
        <v>7.8144000000000009</v>
      </c>
      <c r="I6" s="4">
        <f>F6/F5*100</f>
        <v>20.705882352941178</v>
      </c>
      <c r="J6" s="4">
        <f>H6/H5*100</f>
        <v>38.305882352941182</v>
      </c>
      <c r="K6" s="153" t="s">
        <v>200</v>
      </c>
      <c r="L6" s="154"/>
      <c r="M6" s="154"/>
      <c r="N6" s="154"/>
      <c r="O6" s="154"/>
      <c r="P6" s="154"/>
      <c r="Q6" s="154"/>
      <c r="S6" s="159"/>
      <c r="T6" s="159"/>
      <c r="U6" s="159"/>
      <c r="V6" s="159"/>
      <c r="W6" s="159"/>
      <c r="X6" s="159"/>
    </row>
    <row r="7" spans="2:24" ht="25.2" customHeight="1" thickBot="1" x14ac:dyDescent="0.35">
      <c r="B7" s="1">
        <v>3</v>
      </c>
      <c r="C7" s="2" t="s">
        <v>207</v>
      </c>
      <c r="D7" s="5">
        <v>48</v>
      </c>
      <c r="E7" s="4">
        <v>18</v>
      </c>
      <c r="F7" s="3">
        <f t="shared" si="0"/>
        <v>39.36</v>
      </c>
      <c r="G7" s="4">
        <v>18</v>
      </c>
      <c r="H7" s="3">
        <f t="shared" si="1"/>
        <v>7.0848000000000004</v>
      </c>
      <c r="I7" s="3">
        <f>F7/F5*100</f>
        <v>38.588235294117645</v>
      </c>
      <c r="J7" s="3">
        <f>H7/H5*100</f>
        <v>34.729411764705887</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41.519999999999996</v>
      </c>
      <c r="G8" s="3">
        <f>H8/F8*100</f>
        <v>13.248554913294791</v>
      </c>
      <c r="H8" s="3">
        <f>H5-H6-H7</f>
        <v>5.5007999999999972</v>
      </c>
      <c r="I8" s="3">
        <f>I5-I6-I7</f>
        <v>40.705882352941181</v>
      </c>
      <c r="J8" s="3">
        <f>J5-J6-J7</f>
        <v>26.964705882352931</v>
      </c>
      <c r="K8" s="19">
        <f>F8+S8*8</f>
        <v>1193.52</v>
      </c>
      <c r="L8" s="19">
        <f>F8/1.5+S8*8</f>
        <v>1179.68</v>
      </c>
      <c r="M8" s="19">
        <f>K8/8</f>
        <v>149.19</v>
      </c>
      <c r="N8" s="19">
        <f>L8/8</f>
        <v>147.46</v>
      </c>
      <c r="O8" s="35" t="s">
        <v>46</v>
      </c>
      <c r="P8" s="162" t="s">
        <v>47</v>
      </c>
      <c r="Q8" s="162"/>
      <c r="S8" s="160">
        <f>160*0.9</f>
        <v>144</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S9" s="163"/>
      <c r="T9" s="163"/>
      <c r="U9" s="163"/>
      <c r="V9" s="163"/>
      <c r="W9" s="163"/>
      <c r="X9" s="163"/>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3"/>
      <c r="T10" s="163"/>
      <c r="U10" s="163"/>
      <c r="V10" s="163"/>
      <c r="W10" s="163"/>
      <c r="X10" s="163"/>
    </row>
    <row r="11" spans="2:24" ht="24.6" thickBot="1" x14ac:dyDescent="0.35">
      <c r="B11" s="1">
        <v>1</v>
      </c>
      <c r="C11" s="2" t="s">
        <v>188</v>
      </c>
      <c r="D11" s="5">
        <v>120</v>
      </c>
      <c r="E11" s="4">
        <v>15</v>
      </c>
      <c r="F11" s="3">
        <f>D11*(100-E11)/100</f>
        <v>102</v>
      </c>
      <c r="G11" s="4">
        <v>28</v>
      </c>
      <c r="H11" s="3">
        <f>G11*F11/100</f>
        <v>28.56</v>
      </c>
      <c r="I11" s="3">
        <v>100</v>
      </c>
      <c r="J11" s="3">
        <v>100</v>
      </c>
      <c r="K11" s="11"/>
      <c r="L11" s="12"/>
      <c r="M11" s="12"/>
      <c r="N11" s="12"/>
      <c r="O11" s="12"/>
      <c r="P11" s="12"/>
    </row>
    <row r="12" spans="2:24" ht="36.6" thickBot="1" x14ac:dyDescent="0.35">
      <c r="B12" s="5">
        <v>2</v>
      </c>
      <c r="C12" s="6" t="s">
        <v>189</v>
      </c>
      <c r="D12" s="5">
        <v>48</v>
      </c>
      <c r="E12" s="4">
        <v>12</v>
      </c>
      <c r="F12" s="4">
        <f t="shared" ref="F12:F13" si="2">D12*(100-E12)/100</f>
        <v>42.24</v>
      </c>
      <c r="G12" s="4">
        <v>40</v>
      </c>
      <c r="H12" s="4">
        <f t="shared" ref="H12:H13" si="3">G12*F12/100</f>
        <v>16.896000000000001</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28</v>
      </c>
      <c r="E13" s="4">
        <v>18</v>
      </c>
      <c r="F13" s="3">
        <f t="shared" si="2"/>
        <v>22.96</v>
      </c>
      <c r="G13" s="4">
        <v>22</v>
      </c>
      <c r="H13" s="3">
        <f t="shared" si="3"/>
        <v>5.0511999999999997</v>
      </c>
      <c r="I13" s="3">
        <f>F13/F11*100</f>
        <v>22.509803921568626</v>
      </c>
      <c r="J13" s="3">
        <f>H13/H11*100</f>
        <v>17.686274509803919</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36.799999999999997</v>
      </c>
      <c r="G14" s="3">
        <f>H14/F14*100</f>
        <v>17.969565217391299</v>
      </c>
      <c r="H14" s="3">
        <f>H11-H12-H13</f>
        <v>6.6127999999999982</v>
      </c>
      <c r="I14" s="3">
        <f>I11-I12-I13</f>
        <v>36.078431372549019</v>
      </c>
      <c r="J14" s="3">
        <f>J11-J12-J13</f>
        <v>23.154061624649859</v>
      </c>
      <c r="K14" s="19">
        <f>F14+S8*8</f>
        <v>1188.8</v>
      </c>
      <c r="L14" s="19">
        <f>F14/1.5+S8*8</f>
        <v>1176.5333333333333</v>
      </c>
      <c r="M14" s="19">
        <f>K14/8</f>
        <v>148.6</v>
      </c>
      <c r="N14" s="19">
        <f>L14/8</f>
        <v>147.06666666666666</v>
      </c>
      <c r="O14" s="35" t="s">
        <v>9</v>
      </c>
      <c r="P14" s="162" t="s">
        <v>48</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80</v>
      </c>
      <c r="E18" s="4">
        <v>15</v>
      </c>
      <c r="F18" s="3">
        <f>D18*(100-E18)/100</f>
        <v>68</v>
      </c>
      <c r="G18" s="4">
        <v>22</v>
      </c>
      <c r="H18" s="3">
        <f>G18*F18/100</f>
        <v>14.96</v>
      </c>
      <c r="I18" s="3">
        <v>100</v>
      </c>
      <c r="J18" s="3">
        <v>100</v>
      </c>
      <c r="K18" s="11"/>
      <c r="L18" s="12"/>
      <c r="M18" s="12"/>
      <c r="N18" s="12"/>
      <c r="O18" s="12"/>
    </row>
    <row r="19" spans="2:17" ht="36.6" thickBot="1" x14ac:dyDescent="0.35">
      <c r="B19" s="5">
        <v>2</v>
      </c>
      <c r="C19" s="6" t="s">
        <v>189</v>
      </c>
      <c r="D19" s="5">
        <v>22</v>
      </c>
      <c r="E19" s="4">
        <v>12</v>
      </c>
      <c r="F19" s="4">
        <f t="shared" ref="F19:F20" si="4">D19*(100-E19)/100</f>
        <v>19.36</v>
      </c>
      <c r="G19" s="4">
        <v>36</v>
      </c>
      <c r="H19" s="4">
        <f t="shared" ref="H19:H20" si="5">G19*F19/100</f>
        <v>6.9696000000000007</v>
      </c>
      <c r="I19" s="4">
        <f>F19/F18*100</f>
        <v>28.470588235294116</v>
      </c>
      <c r="J19" s="4">
        <f>H19/H18*100</f>
        <v>46.588235294117645</v>
      </c>
      <c r="K19" s="153" t="s">
        <v>200</v>
      </c>
      <c r="L19" s="154"/>
      <c r="M19" s="154"/>
      <c r="N19" s="154"/>
      <c r="O19" s="154"/>
      <c r="P19" s="154"/>
      <c r="Q19" s="154"/>
    </row>
    <row r="20" spans="2:17" ht="36.6" thickBot="1" x14ac:dyDescent="0.35">
      <c r="B20" s="1">
        <v>3</v>
      </c>
      <c r="C20" s="2" t="s">
        <v>207</v>
      </c>
      <c r="D20" s="5">
        <v>17</v>
      </c>
      <c r="E20" s="4">
        <v>18</v>
      </c>
      <c r="F20" s="3">
        <f t="shared" si="4"/>
        <v>13.94</v>
      </c>
      <c r="G20" s="4">
        <v>18</v>
      </c>
      <c r="H20" s="3">
        <f t="shared" si="5"/>
        <v>2.5091999999999999</v>
      </c>
      <c r="I20" s="3">
        <f>F20/F18*100</f>
        <v>20.5</v>
      </c>
      <c r="J20" s="3">
        <f>H20/H18*100</f>
        <v>16.77272727272727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34.700000000000003</v>
      </c>
      <c r="G21" s="3">
        <f>H21/F21*100</f>
        <v>15.795965417867436</v>
      </c>
      <c r="H21" s="3">
        <f>H18-H19-H20</f>
        <v>5.4812000000000003</v>
      </c>
      <c r="I21" s="3">
        <f>I18-I19-I20</f>
        <v>51.029411764705884</v>
      </c>
      <c r="J21" s="3">
        <f>J18-J19-J20</f>
        <v>36.639037433155082</v>
      </c>
      <c r="K21" s="19">
        <f>F21+S8*8</f>
        <v>1186.7</v>
      </c>
      <c r="L21" s="19">
        <f>F21/1.5+S8*8</f>
        <v>1175.1333333333334</v>
      </c>
      <c r="M21" s="19">
        <f>K21/8</f>
        <v>148.33750000000001</v>
      </c>
      <c r="N21" s="19">
        <f>L21/8</f>
        <v>146.89166666666668</v>
      </c>
      <c r="O21" s="35" t="s">
        <v>49</v>
      </c>
      <c r="P21" s="162" t="s">
        <v>50</v>
      </c>
      <c r="Q21" s="162"/>
    </row>
  </sheetData>
  <mergeCells count="17">
    <mergeCell ref="B2:J2"/>
    <mergeCell ref="B3:J3"/>
    <mergeCell ref="S4:X4"/>
    <mergeCell ref="S5:X5"/>
    <mergeCell ref="K6:Q6"/>
    <mergeCell ref="S6:X6"/>
    <mergeCell ref="S7:X7"/>
    <mergeCell ref="P8:Q8"/>
    <mergeCell ref="S8:T8"/>
    <mergeCell ref="B9:J9"/>
    <mergeCell ref="S9:X10"/>
    <mergeCell ref="P21:Q21"/>
    <mergeCell ref="K12:Q12"/>
    <mergeCell ref="S12:X16"/>
    <mergeCell ref="P14:Q14"/>
    <mergeCell ref="B15:J16"/>
    <mergeCell ref="K19:Q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21"/>
  <sheetViews>
    <sheetView topLeftCell="K1" workbookViewId="0">
      <selection activeCell="S6" sqref="S6:X6"/>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33203125" style="15" customWidth="1"/>
    <col min="12" max="12" width="16.6640625" style="15" customWidth="1"/>
    <col min="13" max="13" width="11.44140625" style="15" customWidth="1"/>
    <col min="14" max="14" width="13.33203125" style="15" customWidth="1"/>
    <col min="15" max="15" width="16.5546875" style="15" customWidth="1"/>
    <col min="16" max="16" width="19.8867187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186</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28</v>
      </c>
      <c r="H5" s="3">
        <f>G5*F5/100</f>
        <v>71.400000000000006</v>
      </c>
      <c r="I5" s="3">
        <v>100</v>
      </c>
      <c r="J5" s="3">
        <v>100</v>
      </c>
      <c r="K5" s="9"/>
      <c r="L5" s="10"/>
      <c r="M5" s="10"/>
      <c r="N5" s="10"/>
      <c r="O5" s="10"/>
      <c r="P5" s="10"/>
      <c r="S5" s="152" t="s">
        <v>198</v>
      </c>
      <c r="T5" s="152"/>
      <c r="U5" s="152"/>
      <c r="V5" s="152"/>
      <c r="W5" s="152"/>
      <c r="X5" s="152"/>
    </row>
    <row r="6" spans="2:24" ht="25.2" customHeight="1" thickBot="1" x14ac:dyDescent="0.35">
      <c r="B6" s="5">
        <v>2</v>
      </c>
      <c r="C6" s="6" t="s">
        <v>189</v>
      </c>
      <c r="D6" s="5">
        <v>132</v>
      </c>
      <c r="E6" s="4">
        <v>12</v>
      </c>
      <c r="F6" s="4">
        <f t="shared" ref="F6:F7" si="0">D6*(100-E6)/100</f>
        <v>116.16</v>
      </c>
      <c r="G6" s="4">
        <v>42</v>
      </c>
      <c r="H6" s="4">
        <f t="shared" ref="H6:H7" si="1">G6*F6/100</f>
        <v>48.787200000000006</v>
      </c>
      <c r="I6" s="4">
        <f>F6/F5*100</f>
        <v>45.552941176470583</v>
      </c>
      <c r="J6" s="4">
        <f>H6/H5*100</f>
        <v>68.329411764705881</v>
      </c>
      <c r="K6" s="153" t="s">
        <v>200</v>
      </c>
      <c r="L6" s="154"/>
      <c r="M6" s="154"/>
      <c r="N6" s="154"/>
      <c r="O6" s="154"/>
      <c r="P6" s="154"/>
      <c r="Q6" s="154"/>
      <c r="S6" s="159" t="s">
        <v>199</v>
      </c>
      <c r="T6" s="159"/>
      <c r="U6" s="159"/>
      <c r="V6" s="159"/>
      <c r="W6" s="159"/>
      <c r="X6" s="159"/>
    </row>
    <row r="7" spans="2:24" ht="25.2" customHeight="1" thickBot="1" x14ac:dyDescent="0.35">
      <c r="B7" s="1">
        <v>3</v>
      </c>
      <c r="C7" s="2" t="s">
        <v>207</v>
      </c>
      <c r="D7" s="5">
        <v>80</v>
      </c>
      <c r="E7" s="4">
        <v>18</v>
      </c>
      <c r="F7" s="3">
        <f t="shared" si="0"/>
        <v>65.599999999999994</v>
      </c>
      <c r="G7" s="4">
        <v>20</v>
      </c>
      <c r="H7" s="3">
        <f t="shared" si="1"/>
        <v>13.12</v>
      </c>
      <c r="I7" s="3">
        <f>F7/F5*100</f>
        <v>25.725490196078425</v>
      </c>
      <c r="J7" s="3">
        <f>H7/H5*100</f>
        <v>18.375350140056021</v>
      </c>
      <c r="K7" s="17" t="s">
        <v>201</v>
      </c>
      <c r="L7" s="18" t="s">
        <v>202</v>
      </c>
      <c r="M7" s="18" t="s">
        <v>203</v>
      </c>
      <c r="N7" s="18" t="s">
        <v>204</v>
      </c>
      <c r="O7" s="18" t="s">
        <v>205</v>
      </c>
      <c r="P7" s="18" t="s">
        <v>206</v>
      </c>
      <c r="S7" s="152" t="s">
        <v>14</v>
      </c>
      <c r="T7" s="152"/>
      <c r="U7" s="152"/>
      <c r="V7" s="152"/>
      <c r="W7" s="152"/>
      <c r="X7" s="152"/>
    </row>
    <row r="8" spans="2:24" ht="25.2" customHeight="1" thickBot="1" x14ac:dyDescent="0.35">
      <c r="B8" s="1">
        <v>4</v>
      </c>
      <c r="C8" s="2" t="s">
        <v>190</v>
      </c>
      <c r="D8" s="1"/>
      <c r="E8" s="1"/>
      <c r="F8" s="3">
        <f>F5-F6-F7</f>
        <v>73.240000000000009</v>
      </c>
      <c r="G8" s="3">
        <f>H8/F8*100</f>
        <v>12.961223375204806</v>
      </c>
      <c r="H8" s="3">
        <f>H5-H6-H7</f>
        <v>9.4928000000000008</v>
      </c>
      <c r="I8" s="3">
        <f>I5-I6-I7</f>
        <v>28.721568627450992</v>
      </c>
      <c r="J8" s="3">
        <f>J5-J6-J7</f>
        <v>13.295238095238098</v>
      </c>
      <c r="K8" s="19">
        <f>F8+S8*10</f>
        <v>1593.24</v>
      </c>
      <c r="L8" s="19">
        <f>F8/1.5+S8*10</f>
        <v>1568.8266666666666</v>
      </c>
      <c r="M8" s="19">
        <f>K8/10</f>
        <v>159.32400000000001</v>
      </c>
      <c r="N8" s="19">
        <f>L8/10</f>
        <v>156.88266666666667</v>
      </c>
      <c r="O8" s="22" t="s">
        <v>8</v>
      </c>
      <c r="P8" s="22" t="s">
        <v>9</v>
      </c>
      <c r="S8" s="160">
        <f>160*0.95</f>
        <v>152</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row>
    <row r="13" spans="2:24" ht="36.6" thickBot="1" x14ac:dyDescent="0.35">
      <c r="B13" s="1">
        <v>3</v>
      </c>
      <c r="C13" s="2" t="s">
        <v>207</v>
      </c>
      <c r="D13" s="5">
        <v>90</v>
      </c>
      <c r="E13" s="4">
        <v>18</v>
      </c>
      <c r="F13" s="3">
        <f t="shared" si="2"/>
        <v>73.8</v>
      </c>
      <c r="G13" s="4">
        <v>15</v>
      </c>
      <c r="H13" s="3">
        <f t="shared" si="3"/>
        <v>11.07</v>
      </c>
      <c r="I13" s="3">
        <f>F13/F11*100</f>
        <v>43.411764705882348</v>
      </c>
      <c r="J13" s="3">
        <f>H13/H11*100</f>
        <v>36.17647058823529</v>
      </c>
      <c r="K13" s="17" t="s">
        <v>201</v>
      </c>
      <c r="L13" s="75" t="s">
        <v>202</v>
      </c>
      <c r="M13" s="75" t="s">
        <v>203</v>
      </c>
      <c r="N13" s="75" t="s">
        <v>204</v>
      </c>
      <c r="O13" s="75" t="s">
        <v>205</v>
      </c>
      <c r="P13" s="75" t="s">
        <v>206</v>
      </c>
    </row>
    <row r="14" spans="2:24" ht="24.6" thickBot="1" x14ac:dyDescent="0.35">
      <c r="B14" s="1">
        <v>4</v>
      </c>
      <c r="C14" s="2" t="s">
        <v>190</v>
      </c>
      <c r="D14" s="1"/>
      <c r="E14" s="1"/>
      <c r="F14" s="3">
        <f>F11-F12-F13</f>
        <v>61.000000000000014</v>
      </c>
      <c r="G14" s="3">
        <f>H14/F14*100</f>
        <v>11.242622950819671</v>
      </c>
      <c r="H14" s="3">
        <f>H11-H12-H13</f>
        <v>6.8580000000000005</v>
      </c>
      <c r="I14" s="3">
        <f>I11-I12-I13</f>
        <v>35.882352941176464</v>
      </c>
      <c r="J14" s="3">
        <f>J11-J12-J13</f>
        <v>22.411764705882355</v>
      </c>
      <c r="K14" s="19">
        <f>F14+S8*10</f>
        <v>1581</v>
      </c>
      <c r="L14" s="19">
        <f>F14/1.5+S8*10</f>
        <v>1560.6666666666667</v>
      </c>
      <c r="M14" s="19">
        <f>K14/10</f>
        <v>158.1</v>
      </c>
      <c r="N14" s="19">
        <f>L14/10</f>
        <v>156.06666666666666</v>
      </c>
      <c r="O14" s="22" t="s">
        <v>4</v>
      </c>
      <c r="P14" s="22" t="s">
        <v>5</v>
      </c>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row>
    <row r="18" spans="2:17" ht="24.6" thickBot="1" x14ac:dyDescent="0.35">
      <c r="B18" s="1">
        <v>1</v>
      </c>
      <c r="C18" s="2" t="s">
        <v>188</v>
      </c>
      <c r="D18" s="5">
        <v>100</v>
      </c>
      <c r="E18" s="4">
        <v>15</v>
      </c>
      <c r="F18" s="3">
        <f>D18*(100-E18)/100</f>
        <v>85</v>
      </c>
      <c r="G18" s="4">
        <v>22</v>
      </c>
      <c r="H18" s="3">
        <f>G18*F18/100</f>
        <v>18.7</v>
      </c>
      <c r="I18" s="3">
        <v>100</v>
      </c>
      <c r="J18" s="3">
        <v>100</v>
      </c>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26</v>
      </c>
      <c r="L19" s="154"/>
      <c r="M19" s="154"/>
      <c r="N19" s="154"/>
      <c r="O19" s="154"/>
      <c r="P19" s="154"/>
      <c r="Q19" s="154"/>
    </row>
    <row r="20" spans="2:17" ht="36.6" thickBot="1" x14ac:dyDescent="0.35">
      <c r="B20" s="1">
        <v>3</v>
      </c>
      <c r="C20" s="2" t="s">
        <v>207</v>
      </c>
      <c r="D20" s="5">
        <v>20</v>
      </c>
      <c r="E20" s="4">
        <v>18</v>
      </c>
      <c r="F20" s="3">
        <f t="shared" si="4"/>
        <v>16.399999999999999</v>
      </c>
      <c r="G20" s="4">
        <v>18</v>
      </c>
      <c r="H20" s="3">
        <f t="shared" si="5"/>
        <v>2.952</v>
      </c>
      <c r="I20" s="3">
        <f>F20/F18*100</f>
        <v>19.294117647058822</v>
      </c>
      <c r="J20" s="3">
        <f>H20/H18*100</f>
        <v>15.786096256684493</v>
      </c>
      <c r="K20" s="17" t="s">
        <v>10</v>
      </c>
      <c r="L20" s="18" t="s">
        <v>24</v>
      </c>
      <c r="M20" s="18" t="s">
        <v>11</v>
      </c>
      <c r="N20" s="18" t="s">
        <v>25</v>
      </c>
      <c r="O20" s="18" t="s">
        <v>12</v>
      </c>
      <c r="P20" s="18" t="s">
        <v>13</v>
      </c>
    </row>
    <row r="21" spans="2:17" ht="24.6" thickBot="1" x14ac:dyDescent="0.35">
      <c r="B21" s="1">
        <v>4</v>
      </c>
      <c r="C21" s="2" t="s">
        <v>190</v>
      </c>
      <c r="D21" s="1"/>
      <c r="E21" s="1"/>
      <c r="F21" s="3">
        <f>F18-F19-F20</f>
        <v>42.2</v>
      </c>
      <c r="G21" s="3">
        <f>H21/F21*100</f>
        <v>14.796208530805686</v>
      </c>
      <c r="H21" s="3">
        <f>H18-H19-H20</f>
        <v>6.2439999999999998</v>
      </c>
      <c r="I21" s="3">
        <f>I18-I19-I20</f>
        <v>49.647058823529406</v>
      </c>
      <c r="J21" s="3">
        <f>J18-J19-J20</f>
        <v>33.390374331550802</v>
      </c>
      <c r="K21" s="20">
        <f>F21+S8*10</f>
        <v>1562.2</v>
      </c>
      <c r="L21" s="20">
        <f>F21/1.5+S8*10</f>
        <v>1548.1333333333334</v>
      </c>
      <c r="M21" s="16">
        <f>K21/10</f>
        <v>156.22</v>
      </c>
      <c r="N21" s="20">
        <f>L21/10</f>
        <v>154.81333333333333</v>
      </c>
      <c r="O21" s="21" t="s">
        <v>104</v>
      </c>
      <c r="P21" s="21" t="s">
        <v>40</v>
      </c>
    </row>
  </sheetData>
  <mergeCells count="12">
    <mergeCell ref="S4:X4"/>
    <mergeCell ref="K6:Q6"/>
    <mergeCell ref="K12:Q12"/>
    <mergeCell ref="K19:Q19"/>
    <mergeCell ref="B2:J2"/>
    <mergeCell ref="B3:J3"/>
    <mergeCell ref="S7:X7"/>
    <mergeCell ref="B15:J16"/>
    <mergeCell ref="B9:J9"/>
    <mergeCell ref="S5:X5"/>
    <mergeCell ref="S6:X6"/>
    <mergeCell ref="S8:T8"/>
  </mergeCells>
  <phoneticPr fontId="5" type="noConversion"/>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X21"/>
  <sheetViews>
    <sheetView topLeftCell="B1" workbookViewId="0">
      <selection activeCell="B9" sqref="B9:J9"/>
    </sheetView>
  </sheetViews>
  <sheetFormatPr defaultColWidth="8.88671875" defaultRowHeight="13.8" x14ac:dyDescent="0.3"/>
  <cols>
    <col min="1" max="1" width="1.88671875" style="39" customWidth="1"/>
    <col min="2" max="2" width="4.109375" style="39" customWidth="1"/>
    <col min="3" max="3" width="14.44140625" style="39" customWidth="1"/>
    <col min="4" max="4" width="10.33203125" style="39" customWidth="1"/>
    <col min="5" max="5" width="6.33203125" style="39" customWidth="1"/>
    <col min="6" max="6" width="10.6640625" style="39" customWidth="1"/>
    <col min="7" max="7" width="8.5546875" style="39" customWidth="1"/>
    <col min="8" max="8" width="9.88671875" style="39" customWidth="1"/>
    <col min="9" max="9" width="10.88671875" style="39" customWidth="1"/>
    <col min="10" max="10" width="11.44140625" style="39" customWidth="1"/>
    <col min="11" max="11" width="15.6640625" style="39" customWidth="1"/>
    <col min="12" max="12" width="16.88671875" style="39" customWidth="1"/>
    <col min="13" max="13" width="11.44140625" style="39" customWidth="1"/>
    <col min="14" max="14" width="14.44140625" style="39" customWidth="1"/>
    <col min="15" max="15" width="16.6640625" style="39" customWidth="1"/>
    <col min="16" max="16" width="11.44140625" style="39" customWidth="1"/>
    <col min="17" max="17" width="7.33203125" style="39" customWidth="1"/>
    <col min="18" max="19" width="8.88671875" style="39"/>
    <col min="20" max="20" width="16.88671875" style="39" customWidth="1"/>
    <col min="21" max="16384" width="8.88671875" style="39"/>
  </cols>
  <sheetData>
    <row r="1" spans="2:24" ht="15.6" customHeight="1" x14ac:dyDescent="0.3"/>
    <row r="2" spans="2:24" ht="20.399999999999999" customHeight="1" x14ac:dyDescent="0.3">
      <c r="B2" s="155"/>
      <c r="C2" s="155"/>
      <c r="D2" s="155"/>
      <c r="E2" s="155"/>
      <c r="F2" s="155"/>
      <c r="G2" s="155"/>
      <c r="H2" s="155"/>
      <c r="I2" s="155"/>
      <c r="J2" s="155"/>
      <c r="K2" s="40"/>
      <c r="L2" s="40"/>
      <c r="M2" s="40"/>
      <c r="N2" s="40"/>
      <c r="O2" s="40"/>
      <c r="P2" s="40"/>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25"/>
      <c r="T4" s="25"/>
      <c r="U4" s="25"/>
      <c r="V4" s="25"/>
      <c r="W4" s="25"/>
      <c r="X4" s="25"/>
    </row>
    <row r="5" spans="2:24" ht="25.2" customHeight="1" thickBot="1" x14ac:dyDescent="0.35">
      <c r="B5" s="1">
        <v>1</v>
      </c>
      <c r="C5" s="2" t="s">
        <v>188</v>
      </c>
      <c r="D5" s="5">
        <v>300</v>
      </c>
      <c r="E5" s="4">
        <v>15</v>
      </c>
      <c r="F5" s="3">
        <f>D5*(100-E5)/100</f>
        <v>255</v>
      </c>
      <c r="G5" s="4">
        <v>20</v>
      </c>
      <c r="H5" s="3">
        <f>G5*F5/100</f>
        <v>51</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60</v>
      </c>
      <c r="E6" s="4">
        <v>12</v>
      </c>
      <c r="F6" s="4">
        <f t="shared" ref="F6:F7" si="0">D6*(100-E6)/100</f>
        <v>52.8</v>
      </c>
      <c r="G6" s="4">
        <v>37</v>
      </c>
      <c r="H6" s="4">
        <f t="shared" ref="H6:H7" si="1">G6*F6/100</f>
        <v>19.535999999999998</v>
      </c>
      <c r="I6" s="4">
        <f>F6/F5*100</f>
        <v>20.705882352941178</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120</v>
      </c>
      <c r="E7" s="4">
        <v>18</v>
      </c>
      <c r="F7" s="3">
        <f t="shared" si="0"/>
        <v>98.4</v>
      </c>
      <c r="G7" s="4">
        <v>18</v>
      </c>
      <c r="H7" s="3">
        <f t="shared" si="1"/>
        <v>17.712</v>
      </c>
      <c r="I7" s="3">
        <f>F7/F5*100</f>
        <v>38.588235294117652</v>
      </c>
      <c r="J7" s="3">
        <f>H7/H5*100</f>
        <v>34.72941176470588</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103.79999999999998</v>
      </c>
      <c r="G8" s="3">
        <f>H8/F8*100</f>
        <v>13.248554913294802</v>
      </c>
      <c r="H8" s="3">
        <f>H5-H6-H7</f>
        <v>13.752000000000002</v>
      </c>
      <c r="I8" s="3">
        <f>I5-I6-I7</f>
        <v>40.705882352941174</v>
      </c>
      <c r="J8" s="3">
        <f>J5-J6-J7</f>
        <v>26.964705882352945</v>
      </c>
      <c r="K8" s="19">
        <f>180*9+F8</f>
        <v>1723.8</v>
      </c>
      <c r="L8" s="19">
        <f>180*9+F8/1.5</f>
        <v>1689.2</v>
      </c>
      <c r="M8" s="19">
        <f>K8/9</f>
        <v>191.53333333333333</v>
      </c>
      <c r="N8" s="19">
        <f>L8/9</f>
        <v>187.6888888888889</v>
      </c>
      <c r="O8" s="41" t="s">
        <v>95</v>
      </c>
      <c r="P8" s="162" t="s">
        <v>84</v>
      </c>
      <c r="Q8" s="162"/>
      <c r="S8" s="160" t="s">
        <v>80</v>
      </c>
      <c r="T8" s="160"/>
      <c r="U8" s="160" t="s">
        <v>82</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83</v>
      </c>
      <c r="V9" s="160"/>
      <c r="W9" s="54"/>
      <c r="X9" s="54"/>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231</v>
      </c>
      <c r="V10" s="160"/>
      <c r="W10" s="57"/>
      <c r="X10" s="57"/>
    </row>
    <row r="11" spans="2:24" ht="24.6" thickBot="1" x14ac:dyDescent="0.35">
      <c r="B11" s="1">
        <v>1</v>
      </c>
      <c r="C11" s="2" t="s">
        <v>188</v>
      </c>
      <c r="D11" s="5">
        <v>300</v>
      </c>
      <c r="E11" s="4">
        <v>15</v>
      </c>
      <c r="F11" s="3">
        <f>D11*(100-E11)/100</f>
        <v>255</v>
      </c>
      <c r="G11" s="4">
        <v>28</v>
      </c>
      <c r="H11" s="3">
        <f>G11*F11/100</f>
        <v>71.400000000000006</v>
      </c>
      <c r="I11" s="3">
        <v>100</v>
      </c>
      <c r="J11" s="3">
        <v>100</v>
      </c>
      <c r="K11" s="11"/>
      <c r="L11" s="12"/>
      <c r="M11" s="12"/>
      <c r="N11" s="12"/>
      <c r="O11" s="12"/>
      <c r="P11" s="12"/>
      <c r="S11" s="54"/>
      <c r="T11" s="54"/>
      <c r="U11" s="54"/>
      <c r="V11" s="54"/>
      <c r="W11" s="54"/>
      <c r="X11" s="54"/>
    </row>
    <row r="12" spans="2:24" ht="36.6" thickBot="1" x14ac:dyDescent="0.35">
      <c r="B12" s="5">
        <v>2</v>
      </c>
      <c r="C12" s="6" t="s">
        <v>189</v>
      </c>
      <c r="D12" s="5">
        <v>120</v>
      </c>
      <c r="E12" s="4">
        <v>12</v>
      </c>
      <c r="F12" s="4">
        <f t="shared" ref="F12:F13" si="2">D12*(100-E12)/100</f>
        <v>105.6</v>
      </c>
      <c r="G12" s="4">
        <v>40</v>
      </c>
      <c r="H12" s="4">
        <f t="shared" ref="H12:H13" si="3">G12*F12/100</f>
        <v>42.24</v>
      </c>
      <c r="I12" s="4">
        <f>F12/F11*100</f>
        <v>41.411764705882355</v>
      </c>
      <c r="J12" s="4">
        <f>H12/H11*100</f>
        <v>59.159663865546221</v>
      </c>
      <c r="K12" s="153" t="s">
        <v>200</v>
      </c>
      <c r="L12" s="154"/>
      <c r="M12" s="154"/>
      <c r="N12" s="154"/>
      <c r="O12" s="154"/>
      <c r="P12" s="154"/>
      <c r="Q12" s="154"/>
      <c r="S12" s="25"/>
      <c r="T12" s="25"/>
      <c r="U12" s="25"/>
      <c r="V12" s="25"/>
      <c r="W12" s="25"/>
      <c r="X12" s="25"/>
    </row>
    <row r="13" spans="2:24" ht="36.6" thickBot="1" x14ac:dyDescent="0.35">
      <c r="B13" s="1">
        <v>3</v>
      </c>
      <c r="C13" s="2" t="s">
        <v>207</v>
      </c>
      <c r="D13" s="5">
        <v>60</v>
      </c>
      <c r="E13" s="4">
        <v>18</v>
      </c>
      <c r="F13" s="3">
        <f t="shared" si="2"/>
        <v>49.2</v>
      </c>
      <c r="G13" s="4">
        <v>22</v>
      </c>
      <c r="H13" s="3">
        <f t="shared" si="3"/>
        <v>10.824000000000002</v>
      </c>
      <c r="I13" s="3">
        <f>F13/F11*100</f>
        <v>19.294117647058826</v>
      </c>
      <c r="J13" s="3">
        <f>H13/H11*100</f>
        <v>15.15966386554622</v>
      </c>
      <c r="K13" s="17" t="s">
        <v>201</v>
      </c>
      <c r="L13" s="75" t="s">
        <v>202</v>
      </c>
      <c r="M13" s="75" t="s">
        <v>203</v>
      </c>
      <c r="N13" s="75" t="s">
        <v>204</v>
      </c>
      <c r="O13" s="75" t="s">
        <v>205</v>
      </c>
      <c r="P13" s="75" t="s">
        <v>206</v>
      </c>
      <c r="Q13" s="74"/>
      <c r="S13" s="25"/>
      <c r="T13" s="25"/>
      <c r="U13" s="25"/>
      <c r="V13" s="25"/>
      <c r="W13" s="25"/>
      <c r="X13" s="25"/>
    </row>
    <row r="14" spans="2:24" ht="24.6" thickBot="1" x14ac:dyDescent="0.35">
      <c r="B14" s="1">
        <v>4</v>
      </c>
      <c r="C14" s="2" t="s">
        <v>190</v>
      </c>
      <c r="D14" s="1"/>
      <c r="E14" s="1"/>
      <c r="F14" s="3">
        <f>F11-F12-F13</f>
        <v>100.2</v>
      </c>
      <c r="G14" s="3">
        <f>H14/F14*100</f>
        <v>18.299401197604791</v>
      </c>
      <c r="H14" s="3">
        <f>H11-H12-H13</f>
        <v>18.336000000000002</v>
      </c>
      <c r="I14" s="3">
        <f>I11-I12-I13</f>
        <v>39.294117647058819</v>
      </c>
      <c r="J14" s="3">
        <f>J11-J12-J13</f>
        <v>25.680672268907557</v>
      </c>
      <c r="K14" s="19">
        <f>180*9+F14</f>
        <v>1720.2</v>
      </c>
      <c r="L14" s="19">
        <f>180*9+F14/1.5</f>
        <v>1686.8</v>
      </c>
      <c r="M14" s="19">
        <f>K14/9</f>
        <v>191.13333333333333</v>
      </c>
      <c r="N14" s="19">
        <f>L14/9</f>
        <v>187.42222222222222</v>
      </c>
      <c r="O14" s="41" t="s">
        <v>96</v>
      </c>
      <c r="P14" s="162" t="s">
        <v>97</v>
      </c>
      <c r="Q14" s="162"/>
      <c r="S14" s="25"/>
      <c r="T14" s="25"/>
      <c r="U14" s="25"/>
      <c r="V14" s="25"/>
      <c r="W14" s="25"/>
      <c r="X14" s="25"/>
    </row>
    <row r="15" spans="2:24" x14ac:dyDescent="0.3">
      <c r="B15" s="156" t="s">
        <v>197</v>
      </c>
      <c r="C15" s="156"/>
      <c r="D15" s="156"/>
      <c r="E15" s="156"/>
      <c r="F15" s="156"/>
      <c r="G15" s="156"/>
      <c r="H15" s="156"/>
      <c r="I15" s="156"/>
      <c r="J15" s="156"/>
      <c r="S15" s="25"/>
      <c r="T15" s="25"/>
      <c r="U15" s="25"/>
      <c r="V15" s="25"/>
      <c r="W15" s="25"/>
      <c r="X15" s="25"/>
    </row>
    <row r="16" spans="2:24" ht="14.4" thickBot="1" x14ac:dyDescent="0.35">
      <c r="B16" s="157"/>
      <c r="C16" s="157"/>
      <c r="D16" s="157"/>
      <c r="E16" s="157"/>
      <c r="F16" s="157"/>
      <c r="G16" s="157"/>
      <c r="H16" s="157"/>
      <c r="I16" s="157"/>
      <c r="J16" s="157"/>
      <c r="S16" s="25"/>
      <c r="T16" s="25"/>
      <c r="U16" s="25"/>
      <c r="V16" s="25"/>
      <c r="W16" s="25"/>
      <c r="X16" s="25"/>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150</v>
      </c>
      <c r="E18" s="4">
        <v>15</v>
      </c>
      <c r="F18" s="3">
        <f>D18*(100-E18)/100</f>
        <v>127.5</v>
      </c>
      <c r="G18" s="4">
        <v>22</v>
      </c>
      <c r="H18" s="3">
        <f>G18*F18/100</f>
        <v>28.05</v>
      </c>
      <c r="I18" s="3">
        <v>100</v>
      </c>
      <c r="J18" s="3">
        <v>100</v>
      </c>
      <c r="K18" s="11"/>
      <c r="L18" s="12"/>
      <c r="M18" s="12"/>
      <c r="N18" s="12"/>
      <c r="O18" s="12"/>
    </row>
    <row r="19" spans="2:17" ht="36.6" thickBot="1" x14ac:dyDescent="0.35">
      <c r="B19" s="5">
        <v>2</v>
      </c>
      <c r="C19" s="6" t="s">
        <v>189</v>
      </c>
      <c r="D19" s="5">
        <v>45</v>
      </c>
      <c r="E19" s="4">
        <v>12</v>
      </c>
      <c r="F19" s="4">
        <f t="shared" ref="F19:F20" si="4">D19*(100-E19)/100</f>
        <v>39.6</v>
      </c>
      <c r="G19" s="4">
        <v>36</v>
      </c>
      <c r="H19" s="4">
        <f t="shared" ref="H19:H20" si="5">G19*F19/100</f>
        <v>14.256000000000002</v>
      </c>
      <c r="I19" s="4">
        <f>F19/F18*100</f>
        <v>31.058823529411768</v>
      </c>
      <c r="J19" s="4">
        <f>H19/H18*100</f>
        <v>50.82352941176471</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19.294117647058826</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63.300000000000004</v>
      </c>
      <c r="G21" s="3">
        <f>H21/F21*100</f>
        <v>14.796208530805686</v>
      </c>
      <c r="H21" s="3">
        <f>H18-H19-H20</f>
        <v>9.3659999999999997</v>
      </c>
      <c r="I21" s="3">
        <f>I18-I19-I20</f>
        <v>49.647058823529406</v>
      </c>
      <c r="J21" s="3">
        <f>J18-J19-J20</f>
        <v>33.390374331550795</v>
      </c>
      <c r="K21" s="19">
        <f>180*9+F21</f>
        <v>1683.3</v>
      </c>
      <c r="L21" s="19">
        <f>180*9+F21/1.5</f>
        <v>1662.2</v>
      </c>
      <c r="M21" s="19">
        <f>K21/9</f>
        <v>187.03333333333333</v>
      </c>
      <c r="N21" s="19">
        <f>L21/9</f>
        <v>184.6888888888889</v>
      </c>
      <c r="O21" s="41" t="s">
        <v>55</v>
      </c>
      <c r="P21" s="162" t="s">
        <v>56</v>
      </c>
      <c r="Q21" s="162"/>
    </row>
  </sheetData>
  <mergeCells count="19">
    <mergeCell ref="S10:T10"/>
    <mergeCell ref="U10:V10"/>
    <mergeCell ref="B2:J2"/>
    <mergeCell ref="B3:J3"/>
    <mergeCell ref="S5:X5"/>
    <mergeCell ref="K6:Q6"/>
    <mergeCell ref="S6:X6"/>
    <mergeCell ref="S7:X7"/>
    <mergeCell ref="P8:Q8"/>
    <mergeCell ref="S8:T8"/>
    <mergeCell ref="B9:J9"/>
    <mergeCell ref="U8:V8"/>
    <mergeCell ref="S9:T9"/>
    <mergeCell ref="U9:V9"/>
    <mergeCell ref="P21:Q21"/>
    <mergeCell ref="K12:Q12"/>
    <mergeCell ref="P14:Q14"/>
    <mergeCell ref="B15:J16"/>
    <mergeCell ref="K19:Q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X21"/>
  <sheetViews>
    <sheetView topLeftCell="B1" workbookViewId="0">
      <selection activeCell="B9" sqref="B9:J9"/>
    </sheetView>
  </sheetViews>
  <sheetFormatPr defaultColWidth="8.88671875" defaultRowHeight="13.8" x14ac:dyDescent="0.3"/>
  <cols>
    <col min="1" max="1" width="1.88671875" style="39" customWidth="1"/>
    <col min="2" max="2" width="4.109375" style="39" customWidth="1"/>
    <col min="3" max="3" width="14.44140625" style="39" customWidth="1"/>
    <col min="4" max="4" width="10.33203125" style="39" customWidth="1"/>
    <col min="5" max="5" width="6.33203125" style="39" customWidth="1"/>
    <col min="6" max="6" width="10.6640625" style="39" customWidth="1"/>
    <col min="7" max="7" width="8.5546875" style="39" customWidth="1"/>
    <col min="8" max="8" width="9.88671875" style="39" customWidth="1"/>
    <col min="9" max="9" width="10.88671875" style="39" customWidth="1"/>
    <col min="10" max="10" width="11.44140625" style="39" customWidth="1"/>
    <col min="11" max="11" width="15.6640625" style="39" customWidth="1"/>
    <col min="12" max="12" width="16.88671875" style="39" customWidth="1"/>
    <col min="13" max="13" width="11.44140625" style="39" customWidth="1"/>
    <col min="14" max="14" width="14.44140625" style="39" customWidth="1"/>
    <col min="15" max="15" width="16.6640625" style="39" customWidth="1"/>
    <col min="16" max="16" width="11.44140625" style="39" customWidth="1"/>
    <col min="17" max="17" width="7.33203125" style="39" customWidth="1"/>
    <col min="18" max="16384" width="8.88671875" style="39"/>
  </cols>
  <sheetData>
    <row r="1" spans="2:24" ht="15.6" customHeight="1" x14ac:dyDescent="0.3"/>
    <row r="2" spans="2:24" ht="20.399999999999999" customHeight="1" x14ac:dyDescent="0.3">
      <c r="B2" s="155"/>
      <c r="C2" s="155"/>
      <c r="D2" s="155"/>
      <c r="E2" s="155"/>
      <c r="F2" s="155"/>
      <c r="G2" s="155"/>
      <c r="H2" s="155"/>
      <c r="I2" s="155"/>
      <c r="J2" s="155"/>
      <c r="K2" s="40"/>
      <c r="L2" s="40"/>
      <c r="M2" s="40"/>
      <c r="N2" s="40"/>
      <c r="O2" s="40"/>
      <c r="P2" s="40"/>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69"/>
      <c r="T4" s="169"/>
      <c r="U4" s="169"/>
      <c r="V4" s="169"/>
      <c r="W4" s="169"/>
      <c r="X4" s="169"/>
    </row>
    <row r="5" spans="2:24" ht="25.2" customHeight="1" thickBot="1" x14ac:dyDescent="0.35">
      <c r="B5" s="1">
        <v>1</v>
      </c>
      <c r="C5" s="2" t="s">
        <v>188</v>
      </c>
      <c r="D5" s="5">
        <v>300</v>
      </c>
      <c r="E5" s="4">
        <v>15</v>
      </c>
      <c r="F5" s="3">
        <f>D5*(100-E5)/100</f>
        <v>255</v>
      </c>
      <c r="G5" s="4">
        <v>20</v>
      </c>
      <c r="H5" s="3">
        <f>G5*F5/100</f>
        <v>51</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60</v>
      </c>
      <c r="E6" s="4">
        <v>12</v>
      </c>
      <c r="F6" s="4">
        <f t="shared" ref="F6:F7" si="0">D6*(100-E6)/100</f>
        <v>52.8</v>
      </c>
      <c r="G6" s="4">
        <v>37</v>
      </c>
      <c r="H6" s="4">
        <f t="shared" ref="H6:H7" si="1">G6*F6/100</f>
        <v>19.535999999999998</v>
      </c>
      <c r="I6" s="4">
        <f>F6/F5*100</f>
        <v>20.705882352941178</v>
      </c>
      <c r="J6" s="4">
        <f>H6/H5*100</f>
        <v>38.305882352941175</v>
      </c>
      <c r="K6" s="153" t="s">
        <v>200</v>
      </c>
      <c r="L6" s="154"/>
      <c r="M6" s="154"/>
      <c r="N6" s="154"/>
      <c r="O6" s="154"/>
      <c r="P6" s="154"/>
      <c r="Q6" s="154"/>
      <c r="S6" s="170"/>
      <c r="T6" s="170"/>
      <c r="U6" s="170"/>
      <c r="V6" s="170"/>
      <c r="W6" s="170"/>
      <c r="X6" s="170"/>
    </row>
    <row r="7" spans="2:24" ht="25.2" customHeight="1" thickBot="1" x14ac:dyDescent="0.35">
      <c r="B7" s="1">
        <v>3</v>
      </c>
      <c r="C7" s="2" t="s">
        <v>207</v>
      </c>
      <c r="D7" s="5">
        <v>120</v>
      </c>
      <c r="E7" s="4">
        <v>18</v>
      </c>
      <c r="F7" s="3">
        <f t="shared" si="0"/>
        <v>98.4</v>
      </c>
      <c r="G7" s="4">
        <v>18</v>
      </c>
      <c r="H7" s="3">
        <f t="shared" si="1"/>
        <v>17.712</v>
      </c>
      <c r="I7" s="3">
        <f>F7/F5*100</f>
        <v>38.588235294117652</v>
      </c>
      <c r="J7" s="3">
        <f>H7/H5*100</f>
        <v>34.72941176470588</v>
      </c>
      <c r="K7" s="17" t="s">
        <v>201</v>
      </c>
      <c r="L7" s="75" t="s">
        <v>202</v>
      </c>
      <c r="M7" s="75" t="s">
        <v>203</v>
      </c>
      <c r="N7" s="75" t="s">
        <v>204</v>
      </c>
      <c r="O7" s="75" t="s">
        <v>205</v>
      </c>
      <c r="P7" s="75" t="s">
        <v>206</v>
      </c>
      <c r="Q7" s="74"/>
      <c r="S7" s="169"/>
      <c r="T7" s="169"/>
      <c r="U7" s="169"/>
      <c r="V7" s="169"/>
      <c r="W7" s="169"/>
      <c r="X7" s="169"/>
    </row>
    <row r="8" spans="2:24" ht="25.2" customHeight="1" thickBot="1" x14ac:dyDescent="0.35">
      <c r="B8" s="1">
        <v>4</v>
      </c>
      <c r="C8" s="2" t="s">
        <v>190</v>
      </c>
      <c r="D8" s="1"/>
      <c r="E8" s="1"/>
      <c r="F8" s="3">
        <f>F5-F6-F7</f>
        <v>103.79999999999998</v>
      </c>
      <c r="G8" s="3">
        <f>H8/F8*100</f>
        <v>13.248554913294802</v>
      </c>
      <c r="H8" s="3">
        <f>H5-H6-H7</f>
        <v>13.752000000000002</v>
      </c>
      <c r="I8" s="3">
        <f>I5-I6-I7</f>
        <v>40.705882352941174</v>
      </c>
      <c r="J8" s="3">
        <f>J5-J6-J7</f>
        <v>26.964705882352945</v>
      </c>
      <c r="K8" s="19"/>
      <c r="L8" s="19"/>
      <c r="M8" s="19"/>
      <c r="N8" s="19"/>
      <c r="O8" s="41"/>
      <c r="P8" s="162"/>
      <c r="Q8" s="162"/>
      <c r="S8" s="164"/>
      <c r="T8" s="164"/>
      <c r="U8" s="164"/>
      <c r="V8" s="164"/>
      <c r="W8" s="164"/>
      <c r="X8" s="164"/>
    </row>
    <row r="9" spans="2:24" ht="25.2" customHeight="1" thickBot="1" x14ac:dyDescent="0.35">
      <c r="B9" s="152" t="s">
        <v>235</v>
      </c>
      <c r="C9" s="152"/>
      <c r="D9" s="152"/>
      <c r="E9" s="152"/>
      <c r="F9" s="152"/>
      <c r="G9" s="152"/>
      <c r="H9" s="152"/>
      <c r="I9" s="152"/>
      <c r="J9" s="152"/>
      <c r="K9" s="8"/>
      <c r="L9" s="8"/>
      <c r="M9" s="8"/>
      <c r="N9" s="8"/>
      <c r="O9" s="13"/>
      <c r="P9" s="8"/>
      <c r="S9" s="163"/>
      <c r="T9" s="163"/>
      <c r="U9" s="163"/>
      <c r="V9" s="163"/>
      <c r="W9" s="163"/>
      <c r="X9" s="163"/>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3"/>
      <c r="T10" s="163"/>
      <c r="U10" s="163"/>
      <c r="V10" s="163"/>
      <c r="W10" s="163"/>
      <c r="X10" s="163"/>
    </row>
    <row r="11" spans="2:24" ht="24.6" thickBot="1" x14ac:dyDescent="0.35">
      <c r="B11" s="1">
        <v>1</v>
      </c>
      <c r="C11" s="2" t="s">
        <v>188</v>
      </c>
      <c r="D11" s="5">
        <v>300</v>
      </c>
      <c r="E11" s="4">
        <v>15</v>
      </c>
      <c r="F11" s="3">
        <f>D11*(100-E11)/100</f>
        <v>255</v>
      </c>
      <c r="G11" s="4">
        <v>28</v>
      </c>
      <c r="H11" s="3">
        <f>G11*F11/100</f>
        <v>71.400000000000006</v>
      </c>
      <c r="I11" s="3">
        <v>100</v>
      </c>
      <c r="J11" s="3">
        <v>100</v>
      </c>
      <c r="K11" s="11"/>
      <c r="L11" s="12"/>
      <c r="M11" s="12"/>
      <c r="N11" s="12"/>
      <c r="O11" s="12"/>
      <c r="P11" s="12"/>
    </row>
    <row r="12" spans="2:24" ht="36.6" thickBot="1" x14ac:dyDescent="0.35">
      <c r="B12" s="5">
        <v>2</v>
      </c>
      <c r="C12" s="6" t="s">
        <v>189</v>
      </c>
      <c r="D12" s="5">
        <v>120</v>
      </c>
      <c r="E12" s="4">
        <v>12</v>
      </c>
      <c r="F12" s="4">
        <f t="shared" ref="F12:F13" si="2">D12*(100-E12)/100</f>
        <v>105.6</v>
      </c>
      <c r="G12" s="4">
        <v>40</v>
      </c>
      <c r="H12" s="4">
        <f t="shared" ref="H12:H13" si="3">G12*F12/100</f>
        <v>42.24</v>
      </c>
      <c r="I12" s="4">
        <f>F12/F11*100</f>
        <v>41.411764705882355</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60</v>
      </c>
      <c r="E13" s="4">
        <v>18</v>
      </c>
      <c r="F13" s="3">
        <f t="shared" si="2"/>
        <v>49.2</v>
      </c>
      <c r="G13" s="4">
        <v>22</v>
      </c>
      <c r="H13" s="3">
        <f t="shared" si="3"/>
        <v>10.824000000000002</v>
      </c>
      <c r="I13" s="3">
        <f>F13/F11*100</f>
        <v>19.294117647058826</v>
      </c>
      <c r="J13" s="3">
        <f>H13/H11*100</f>
        <v>15.15966386554622</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100.2</v>
      </c>
      <c r="G14" s="3">
        <f>H14/F14*100</f>
        <v>18.299401197604791</v>
      </c>
      <c r="H14" s="3">
        <f>H11-H12-H13</f>
        <v>18.336000000000002</v>
      </c>
      <c r="I14" s="3">
        <f>I11-I12-I13</f>
        <v>39.294117647058819</v>
      </c>
      <c r="J14" s="3">
        <f>J11-J12-J13</f>
        <v>25.680672268907557</v>
      </c>
      <c r="K14" s="19"/>
      <c r="L14" s="19"/>
      <c r="M14" s="19"/>
      <c r="N14" s="19"/>
      <c r="O14" s="41"/>
      <c r="P14" s="162"/>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150</v>
      </c>
      <c r="E18" s="4">
        <v>15</v>
      </c>
      <c r="F18" s="3">
        <f>D18*(100-E18)/100</f>
        <v>127.5</v>
      </c>
      <c r="G18" s="4">
        <v>22</v>
      </c>
      <c r="H18" s="3">
        <f>G18*F18/100</f>
        <v>28.05</v>
      </c>
      <c r="I18" s="3">
        <v>100</v>
      </c>
      <c r="J18" s="3">
        <v>100</v>
      </c>
      <c r="K18" s="11"/>
      <c r="L18" s="12"/>
      <c r="M18" s="12"/>
      <c r="N18" s="12"/>
      <c r="O18" s="12"/>
    </row>
    <row r="19" spans="2:17" ht="36.6" thickBot="1" x14ac:dyDescent="0.35">
      <c r="B19" s="5">
        <v>2</v>
      </c>
      <c r="C19" s="6" t="s">
        <v>189</v>
      </c>
      <c r="D19" s="5">
        <v>45</v>
      </c>
      <c r="E19" s="4">
        <v>12</v>
      </c>
      <c r="F19" s="4">
        <f t="shared" ref="F19:F20" si="4">D19*(100-E19)/100</f>
        <v>39.6</v>
      </c>
      <c r="G19" s="4">
        <v>36</v>
      </c>
      <c r="H19" s="4">
        <f t="shared" ref="H19:H20" si="5">G19*F19/100</f>
        <v>14.256000000000002</v>
      </c>
      <c r="I19" s="4">
        <f>F19/F18*100</f>
        <v>31.058823529411768</v>
      </c>
      <c r="J19" s="4">
        <f>H19/H18*100</f>
        <v>50.82352941176471</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19.294117647058826</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63.300000000000004</v>
      </c>
      <c r="G21" s="3">
        <f>H21/F21*100</f>
        <v>14.796208530805686</v>
      </c>
      <c r="H21" s="3">
        <f>H18-H19-H20</f>
        <v>9.3659999999999997</v>
      </c>
      <c r="I21" s="3">
        <f>I18-I19-I20</f>
        <v>49.647058823529406</v>
      </c>
      <c r="J21" s="3">
        <f>J18-J19-J20</f>
        <v>33.390374331550795</v>
      </c>
      <c r="K21" s="19"/>
      <c r="L21" s="19"/>
      <c r="M21" s="19"/>
      <c r="N21" s="19"/>
      <c r="O21" s="41"/>
      <c r="P21" s="162"/>
      <c r="Q21" s="162"/>
    </row>
  </sheetData>
  <mergeCells count="17">
    <mergeCell ref="B2:J2"/>
    <mergeCell ref="B3:J3"/>
    <mergeCell ref="S4:X4"/>
    <mergeCell ref="S5:X5"/>
    <mergeCell ref="K6:Q6"/>
    <mergeCell ref="S6:X6"/>
    <mergeCell ref="S7:X7"/>
    <mergeCell ref="P8:Q8"/>
    <mergeCell ref="B9:J9"/>
    <mergeCell ref="S9:X10"/>
    <mergeCell ref="S8:X8"/>
    <mergeCell ref="P21:Q21"/>
    <mergeCell ref="K12:Q12"/>
    <mergeCell ref="S12:X16"/>
    <mergeCell ref="P14:Q14"/>
    <mergeCell ref="B15:J16"/>
    <mergeCell ref="K19:Q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X21"/>
  <sheetViews>
    <sheetView topLeftCell="B1" workbookViewId="0">
      <selection activeCell="B9" sqref="B9:J9"/>
    </sheetView>
  </sheetViews>
  <sheetFormatPr defaultColWidth="8.88671875" defaultRowHeight="13.8" x14ac:dyDescent="0.3"/>
  <cols>
    <col min="1" max="1" width="1.88671875" style="39" customWidth="1"/>
    <col min="2" max="2" width="4.109375" style="39" customWidth="1"/>
    <col min="3" max="3" width="14.44140625" style="39" customWidth="1"/>
    <col min="4" max="4" width="10.33203125" style="39" customWidth="1"/>
    <col min="5" max="5" width="6.33203125" style="39" customWidth="1"/>
    <col min="6" max="6" width="10.6640625" style="39" customWidth="1"/>
    <col min="7" max="7" width="8.5546875" style="39" customWidth="1"/>
    <col min="8" max="8" width="9.88671875" style="39" customWidth="1"/>
    <col min="9" max="9" width="10.88671875" style="39" customWidth="1"/>
    <col min="10" max="10" width="11.44140625" style="39" customWidth="1"/>
    <col min="11" max="11" width="15.6640625" style="39" customWidth="1"/>
    <col min="12" max="12" width="16.88671875" style="39" customWidth="1"/>
    <col min="13" max="13" width="11.44140625" style="39" customWidth="1"/>
    <col min="14" max="14" width="14.44140625" style="39" customWidth="1"/>
    <col min="15" max="15" width="16.6640625" style="39" customWidth="1"/>
    <col min="16" max="16" width="11.44140625" style="39" customWidth="1"/>
    <col min="17" max="17" width="7.33203125" style="39" customWidth="1"/>
    <col min="18" max="19" width="8.88671875" style="39"/>
    <col min="20" max="20" width="14.88671875" style="39" customWidth="1"/>
    <col min="21" max="16384" width="8.88671875" style="39"/>
  </cols>
  <sheetData>
    <row r="1" spans="2:24" ht="15.6" customHeight="1" x14ac:dyDescent="0.3"/>
    <row r="2" spans="2:24" ht="20.399999999999999" customHeight="1" x14ac:dyDescent="0.3">
      <c r="B2" s="155"/>
      <c r="C2" s="155"/>
      <c r="D2" s="155"/>
      <c r="E2" s="155"/>
      <c r="F2" s="155"/>
      <c r="G2" s="155"/>
      <c r="H2" s="155"/>
      <c r="I2" s="155"/>
      <c r="J2" s="155"/>
      <c r="K2" s="40"/>
      <c r="L2" s="40"/>
      <c r="M2" s="40"/>
      <c r="N2" s="40"/>
      <c r="O2" s="40"/>
      <c r="P2" s="40"/>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69"/>
      <c r="T4" s="169"/>
      <c r="U4" s="169"/>
      <c r="V4" s="169"/>
      <c r="W4" s="169"/>
      <c r="X4" s="169"/>
    </row>
    <row r="5" spans="2:24" ht="25.2" customHeight="1" thickBot="1" x14ac:dyDescent="0.35">
      <c r="B5" s="1">
        <v>1</v>
      </c>
      <c r="C5" s="2" t="s">
        <v>188</v>
      </c>
      <c r="D5" s="5">
        <v>120</v>
      </c>
      <c r="E5" s="4">
        <v>15</v>
      </c>
      <c r="F5" s="3">
        <f>D5*(100-E5)/100</f>
        <v>102</v>
      </c>
      <c r="G5" s="4">
        <v>20</v>
      </c>
      <c r="H5" s="3">
        <f>G5*F5/100</f>
        <v>20.399999999999999</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24</v>
      </c>
      <c r="E6" s="4">
        <v>12</v>
      </c>
      <c r="F6" s="4">
        <f t="shared" ref="F6:F7" si="0">D6*(100-E6)/100</f>
        <v>21.12</v>
      </c>
      <c r="G6" s="4">
        <v>37</v>
      </c>
      <c r="H6" s="4">
        <f t="shared" ref="H6:H7" si="1">G6*F6/100</f>
        <v>7.8144000000000009</v>
      </c>
      <c r="I6" s="4">
        <f>F6/F5*100</f>
        <v>20.705882352941178</v>
      </c>
      <c r="J6" s="4">
        <f>H6/H5*100</f>
        <v>38.305882352941182</v>
      </c>
      <c r="K6" s="153" t="s">
        <v>200</v>
      </c>
      <c r="L6" s="154"/>
      <c r="M6" s="154"/>
      <c r="N6" s="154"/>
      <c r="O6" s="154"/>
      <c r="P6" s="154"/>
      <c r="Q6" s="154"/>
      <c r="S6" s="159"/>
      <c r="T6" s="159"/>
      <c r="U6" s="159"/>
      <c r="V6" s="159"/>
      <c r="W6" s="159"/>
      <c r="X6" s="159"/>
    </row>
    <row r="7" spans="2:24" ht="25.2" customHeight="1" thickBot="1" x14ac:dyDescent="0.35">
      <c r="B7" s="1">
        <v>3</v>
      </c>
      <c r="C7" s="2" t="s">
        <v>207</v>
      </c>
      <c r="D7" s="5">
        <v>46</v>
      </c>
      <c r="E7" s="4">
        <v>18</v>
      </c>
      <c r="F7" s="3">
        <f t="shared" si="0"/>
        <v>37.72</v>
      </c>
      <c r="G7" s="4">
        <v>18</v>
      </c>
      <c r="H7" s="3">
        <f t="shared" si="1"/>
        <v>6.7896000000000001</v>
      </c>
      <c r="I7" s="3">
        <f>F7/F5*100</f>
        <v>36.980392156862749</v>
      </c>
      <c r="J7" s="3">
        <f>H7/H5*100</f>
        <v>33.282352941176477</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43.16</v>
      </c>
      <c r="G8" s="3">
        <f>H8/F8*100</f>
        <v>13.429101019462461</v>
      </c>
      <c r="H8" s="3">
        <f>H5-H6-H7</f>
        <v>5.7959999999999976</v>
      </c>
      <c r="I8" s="3">
        <f>I5-I6-I7</f>
        <v>42.313725490196077</v>
      </c>
      <c r="J8" s="3">
        <f>J5-J6-J7</f>
        <v>28.411764705882341</v>
      </c>
      <c r="K8" s="19">
        <f>180*8+F8</f>
        <v>1483.16</v>
      </c>
      <c r="L8" s="19">
        <f>F8/1.5+180*8</f>
        <v>1468.7733333333333</v>
      </c>
      <c r="M8" s="19">
        <f>K8/8</f>
        <v>185.39500000000001</v>
      </c>
      <c r="N8" s="19">
        <f>L8/8</f>
        <v>183.59666666666666</v>
      </c>
      <c r="O8" s="41" t="s">
        <v>113</v>
      </c>
      <c r="P8" s="162" t="s">
        <v>114</v>
      </c>
      <c r="Q8" s="162"/>
      <c r="S8" s="160" t="s">
        <v>80</v>
      </c>
      <c r="T8" s="160"/>
      <c r="U8" s="160" t="s">
        <v>82</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83</v>
      </c>
      <c r="V9" s="160"/>
      <c r="W9" s="56"/>
      <c r="X9" s="56"/>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231</v>
      </c>
      <c r="V10" s="160"/>
      <c r="W10" s="52"/>
      <c r="X10" s="52"/>
    </row>
    <row r="11" spans="2:24" ht="24.6" thickBot="1" x14ac:dyDescent="0.35">
      <c r="B11" s="1">
        <v>1</v>
      </c>
      <c r="C11" s="2" t="s">
        <v>188</v>
      </c>
      <c r="D11" s="5">
        <v>120</v>
      </c>
      <c r="E11" s="4">
        <v>15</v>
      </c>
      <c r="F11" s="3">
        <f>D11*(100-E11)/100</f>
        <v>102</v>
      </c>
      <c r="G11" s="4">
        <v>28</v>
      </c>
      <c r="H11" s="3">
        <f>G11*F11/100</f>
        <v>28.56</v>
      </c>
      <c r="I11" s="3">
        <v>100</v>
      </c>
      <c r="J11" s="3">
        <v>100</v>
      </c>
      <c r="K11" s="11"/>
      <c r="L11" s="12"/>
      <c r="M11" s="12"/>
      <c r="N11" s="12"/>
      <c r="O11" s="12"/>
      <c r="P11" s="12"/>
      <c r="S11" s="52"/>
      <c r="T11" s="52"/>
      <c r="U11" s="52"/>
      <c r="V11" s="52"/>
      <c r="W11" s="52"/>
      <c r="X11" s="52"/>
    </row>
    <row r="12" spans="2:24" ht="36.6" thickBot="1" x14ac:dyDescent="0.35">
      <c r="B12" s="5">
        <v>2</v>
      </c>
      <c r="C12" s="6" t="s">
        <v>189</v>
      </c>
      <c r="D12" s="5">
        <v>50</v>
      </c>
      <c r="E12" s="4">
        <v>12</v>
      </c>
      <c r="F12" s="4">
        <f t="shared" ref="F12:F13" si="2">D12*(100-E12)/100</f>
        <v>44</v>
      </c>
      <c r="G12" s="4">
        <v>40</v>
      </c>
      <c r="H12" s="4">
        <f t="shared" ref="H12:H13" si="3">G12*F12/100</f>
        <v>17.600000000000001</v>
      </c>
      <c r="I12" s="4">
        <f>F12/F11*100</f>
        <v>43.137254901960787</v>
      </c>
      <c r="J12" s="4">
        <f>H12/H11*100</f>
        <v>61.624649859943979</v>
      </c>
      <c r="K12" s="153" t="s">
        <v>200</v>
      </c>
      <c r="L12" s="154"/>
      <c r="M12" s="154"/>
      <c r="N12" s="154"/>
      <c r="O12" s="154"/>
      <c r="P12" s="154"/>
      <c r="Q12" s="154"/>
      <c r="S12" s="152"/>
      <c r="T12" s="152"/>
      <c r="U12" s="152"/>
      <c r="V12" s="152"/>
      <c r="W12" s="152"/>
      <c r="X12" s="152"/>
    </row>
    <row r="13" spans="2:24" ht="36.6" thickBot="1" x14ac:dyDescent="0.35">
      <c r="B13" s="1">
        <v>3</v>
      </c>
      <c r="C13" s="2" t="s">
        <v>207</v>
      </c>
      <c r="D13" s="5">
        <v>24</v>
      </c>
      <c r="E13" s="4">
        <v>18</v>
      </c>
      <c r="F13" s="3">
        <f t="shared" si="2"/>
        <v>19.68</v>
      </c>
      <c r="G13" s="4">
        <v>22</v>
      </c>
      <c r="H13" s="3">
        <f t="shared" si="3"/>
        <v>4.3296000000000001</v>
      </c>
      <c r="I13" s="3">
        <f>F13/F11*100</f>
        <v>19.294117647058822</v>
      </c>
      <c r="J13" s="3">
        <f>H13/H11*100</f>
        <v>15.15966386554622</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38.32</v>
      </c>
      <c r="G14" s="3">
        <f>H14/F14*100</f>
        <v>17.302713987473897</v>
      </c>
      <c r="H14" s="3">
        <f>H11-H12-H13</f>
        <v>6.6303999999999972</v>
      </c>
      <c r="I14" s="3">
        <f>I11-I12-I13</f>
        <v>37.568627450980387</v>
      </c>
      <c r="J14" s="3">
        <f>J11-J12-J13</f>
        <v>23.2156862745098</v>
      </c>
      <c r="K14" s="19">
        <f>180*8+F14</f>
        <v>1478.32</v>
      </c>
      <c r="L14" s="19">
        <f>180*8+F14/1.5</f>
        <v>1465.5466666666666</v>
      </c>
      <c r="M14" s="19">
        <f>K14/8</f>
        <v>184.79</v>
      </c>
      <c r="N14" s="19">
        <f>L14/8</f>
        <v>183.19333333333333</v>
      </c>
      <c r="O14" s="45" t="s">
        <v>115</v>
      </c>
      <c r="P14" s="162" t="s">
        <v>116</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80</v>
      </c>
      <c r="E18" s="4">
        <v>15</v>
      </c>
      <c r="F18" s="3">
        <f>D18*(100-E18)/100</f>
        <v>68</v>
      </c>
      <c r="G18" s="4">
        <v>22</v>
      </c>
      <c r="H18" s="3">
        <f>G18*F18/100</f>
        <v>14.96</v>
      </c>
      <c r="I18" s="3">
        <v>100</v>
      </c>
      <c r="J18" s="3">
        <v>100</v>
      </c>
      <c r="K18" s="11"/>
      <c r="L18" s="12"/>
      <c r="M18" s="12"/>
      <c r="N18" s="12"/>
      <c r="O18" s="12"/>
    </row>
    <row r="19" spans="2:17" ht="36.6" thickBot="1" x14ac:dyDescent="0.35">
      <c r="B19" s="5">
        <v>2</v>
      </c>
      <c r="C19" s="6" t="s">
        <v>189</v>
      </c>
      <c r="D19" s="5">
        <v>24</v>
      </c>
      <c r="E19" s="4">
        <v>12</v>
      </c>
      <c r="F19" s="4">
        <f t="shared" ref="F19:F20" si="4">D19*(100-E19)/100</f>
        <v>21.12</v>
      </c>
      <c r="G19" s="4">
        <v>36</v>
      </c>
      <c r="H19" s="4">
        <f t="shared" ref="H19:H20" si="5">G19*F19/100</f>
        <v>7.6032000000000002</v>
      </c>
      <c r="I19" s="4">
        <f>F19/F18*100</f>
        <v>31.058823529411768</v>
      </c>
      <c r="J19" s="4">
        <f>H19/H18*100</f>
        <v>50.823529411764703</v>
      </c>
      <c r="K19" s="153" t="s">
        <v>200</v>
      </c>
      <c r="L19" s="154"/>
      <c r="M19" s="154"/>
      <c r="N19" s="154"/>
      <c r="O19" s="154"/>
      <c r="P19" s="154"/>
      <c r="Q19" s="154"/>
    </row>
    <row r="20" spans="2:17" ht="36.6" thickBot="1" x14ac:dyDescent="0.35">
      <c r="B20" s="1">
        <v>3</v>
      </c>
      <c r="C20" s="2" t="s">
        <v>207</v>
      </c>
      <c r="D20" s="5">
        <v>16</v>
      </c>
      <c r="E20" s="4">
        <v>18</v>
      </c>
      <c r="F20" s="3">
        <f t="shared" si="4"/>
        <v>13.12</v>
      </c>
      <c r="G20" s="4">
        <v>18</v>
      </c>
      <c r="H20" s="3">
        <f t="shared" si="5"/>
        <v>2.3616000000000001</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33.76</v>
      </c>
      <c r="G21" s="3">
        <f>H21/F21*100</f>
        <v>14.796208530805691</v>
      </c>
      <c r="H21" s="3">
        <f>H18-H19-H20</f>
        <v>4.9952000000000005</v>
      </c>
      <c r="I21" s="3">
        <f>I18-I19-I20</f>
        <v>49.647058823529406</v>
      </c>
      <c r="J21" s="3">
        <f>J18-J19-J20</f>
        <v>33.390374331550802</v>
      </c>
      <c r="K21" s="19">
        <f>180*8+F21</f>
        <v>1473.76</v>
      </c>
      <c r="L21" s="19">
        <f>180*8+F21/1.5</f>
        <v>1462.5066666666667</v>
      </c>
      <c r="M21" s="19">
        <f>K21/8</f>
        <v>184.22</v>
      </c>
      <c r="N21" s="19">
        <f>L21/8</f>
        <v>182.81333333333333</v>
      </c>
      <c r="O21" s="45" t="s">
        <v>117</v>
      </c>
      <c r="P21" s="162" t="s">
        <v>118</v>
      </c>
      <c r="Q21" s="162"/>
    </row>
  </sheetData>
  <mergeCells count="21">
    <mergeCell ref="B15:J16"/>
    <mergeCell ref="K19:Q19"/>
    <mergeCell ref="B2:J2"/>
    <mergeCell ref="B3:J3"/>
    <mergeCell ref="S4:X4"/>
    <mergeCell ref="S5:X5"/>
    <mergeCell ref="K6:Q6"/>
    <mergeCell ref="S6:X6"/>
    <mergeCell ref="S7:X7"/>
    <mergeCell ref="P8:Q8"/>
    <mergeCell ref="S8:T8"/>
    <mergeCell ref="B9:J9"/>
    <mergeCell ref="U8:V8"/>
    <mergeCell ref="S9:T9"/>
    <mergeCell ref="U9:V9"/>
    <mergeCell ref="S10:T10"/>
    <mergeCell ref="U10:V10"/>
    <mergeCell ref="P21:Q21"/>
    <mergeCell ref="K12:Q12"/>
    <mergeCell ref="S12:X16"/>
    <mergeCell ref="P14:Q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A21"/>
  <sheetViews>
    <sheetView topLeftCell="B1" workbookViewId="0">
      <selection activeCell="B3" sqref="B3:J3"/>
    </sheetView>
  </sheetViews>
  <sheetFormatPr defaultColWidth="8.88671875" defaultRowHeight="13.8" x14ac:dyDescent="0.3"/>
  <cols>
    <col min="1" max="1" width="1.88671875" style="46" customWidth="1"/>
    <col min="2" max="2" width="4.109375" style="46" customWidth="1"/>
    <col min="3" max="3" width="14.44140625" style="46" customWidth="1"/>
    <col min="4" max="4" width="10.33203125" style="46" customWidth="1"/>
    <col min="5" max="5" width="6.33203125" style="46" customWidth="1"/>
    <col min="6" max="6" width="10.6640625" style="46" customWidth="1"/>
    <col min="7" max="7" width="8.5546875" style="46" customWidth="1"/>
    <col min="8" max="8" width="9.88671875" style="46" customWidth="1"/>
    <col min="9" max="9" width="10.88671875" style="46" customWidth="1"/>
    <col min="10" max="10" width="11.44140625" style="46" customWidth="1"/>
    <col min="11" max="11" width="15.6640625" style="46" customWidth="1"/>
    <col min="12" max="12" width="16.88671875" style="46" customWidth="1"/>
    <col min="13" max="13" width="11.44140625" style="46" customWidth="1"/>
    <col min="14" max="14" width="14.44140625" style="46" customWidth="1"/>
    <col min="15" max="15" width="16.6640625" style="46" customWidth="1"/>
    <col min="16" max="16" width="11.44140625" style="46" customWidth="1"/>
    <col min="17" max="17" width="7.33203125" style="46" customWidth="1"/>
    <col min="18" max="16384" width="8.88671875" style="46"/>
  </cols>
  <sheetData>
    <row r="1" spans="2:27" ht="15.6" customHeight="1" x14ac:dyDescent="0.3"/>
    <row r="2" spans="2:27" ht="20.399999999999999" customHeight="1" x14ac:dyDescent="0.3">
      <c r="B2" s="155"/>
      <c r="C2" s="155"/>
      <c r="D2" s="155"/>
      <c r="E2" s="155"/>
      <c r="F2" s="155"/>
      <c r="G2" s="155"/>
      <c r="H2" s="155"/>
      <c r="I2" s="155"/>
      <c r="J2" s="155"/>
      <c r="K2" s="47"/>
      <c r="L2" s="47"/>
      <c r="M2" s="47"/>
      <c r="N2" s="47"/>
      <c r="O2" s="47"/>
      <c r="P2" s="47"/>
    </row>
    <row r="3" spans="2:27" ht="24.75" customHeight="1" thickBot="1" x14ac:dyDescent="0.35">
      <c r="B3" s="152" t="s">
        <v>235</v>
      </c>
      <c r="C3" s="152"/>
      <c r="D3" s="152"/>
      <c r="E3" s="152"/>
      <c r="F3" s="152"/>
      <c r="G3" s="152"/>
      <c r="H3" s="152"/>
      <c r="I3" s="152"/>
      <c r="J3" s="152"/>
    </row>
    <row r="4" spans="2:27"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69"/>
      <c r="T4" s="169"/>
      <c r="U4" s="169"/>
      <c r="V4" s="169"/>
      <c r="W4" s="169"/>
      <c r="X4" s="169"/>
    </row>
    <row r="5" spans="2:27" ht="25.2" customHeight="1" thickBot="1" x14ac:dyDescent="0.35">
      <c r="B5" s="1">
        <v>1</v>
      </c>
      <c r="C5" s="2" t="s">
        <v>188</v>
      </c>
      <c r="D5" s="5">
        <v>250</v>
      </c>
      <c r="E5" s="4">
        <v>15</v>
      </c>
      <c r="F5" s="3">
        <f>D5*(100-E5)/100</f>
        <v>212.5</v>
      </c>
      <c r="G5" s="4">
        <v>20</v>
      </c>
      <c r="H5" s="3">
        <f>G5*F5/100</f>
        <v>42.5</v>
      </c>
      <c r="I5" s="3">
        <v>100</v>
      </c>
      <c r="J5" s="3">
        <v>100</v>
      </c>
      <c r="K5" s="9"/>
      <c r="L5" s="10"/>
      <c r="M5" s="10"/>
      <c r="N5" s="10"/>
      <c r="O5" s="10"/>
      <c r="P5" s="10"/>
      <c r="S5" s="160" t="s">
        <v>229</v>
      </c>
      <c r="T5" s="160"/>
      <c r="U5" s="160"/>
      <c r="V5" s="160"/>
      <c r="W5" s="160"/>
      <c r="X5" s="160"/>
    </row>
    <row r="6" spans="2:27" ht="25.2" customHeight="1" thickBot="1" x14ac:dyDescent="0.35">
      <c r="B6" s="5">
        <v>2</v>
      </c>
      <c r="C6" s="6" t="s">
        <v>189</v>
      </c>
      <c r="D6" s="5">
        <v>50</v>
      </c>
      <c r="E6" s="4">
        <v>12</v>
      </c>
      <c r="F6" s="4">
        <f t="shared" ref="F6:F7" si="0">D6*(100-E6)/100</f>
        <v>44</v>
      </c>
      <c r="G6" s="4">
        <v>37</v>
      </c>
      <c r="H6" s="4">
        <f t="shared" ref="H6:H7" si="1">G6*F6/100</f>
        <v>16.28</v>
      </c>
      <c r="I6" s="4">
        <f>F6/F5*100</f>
        <v>20.705882352941178</v>
      </c>
      <c r="J6" s="4">
        <f>H6/H5*100</f>
        <v>38.305882352941175</v>
      </c>
      <c r="K6" s="153" t="s">
        <v>200</v>
      </c>
      <c r="L6" s="154"/>
      <c r="M6" s="154"/>
      <c r="N6" s="154"/>
      <c r="O6" s="154"/>
      <c r="P6" s="154"/>
      <c r="Q6" s="154"/>
      <c r="S6" s="170"/>
      <c r="T6" s="170"/>
      <c r="U6" s="170"/>
      <c r="V6" s="170"/>
      <c r="W6" s="170"/>
      <c r="X6" s="170"/>
    </row>
    <row r="7" spans="2:27" ht="25.2" customHeight="1" thickBot="1" x14ac:dyDescent="0.35">
      <c r="B7" s="1">
        <v>3</v>
      </c>
      <c r="C7" s="2" t="s">
        <v>207</v>
      </c>
      <c r="D7" s="5">
        <v>100</v>
      </c>
      <c r="E7" s="4">
        <v>18</v>
      </c>
      <c r="F7" s="3">
        <f t="shared" si="0"/>
        <v>82</v>
      </c>
      <c r="G7" s="4">
        <v>18</v>
      </c>
      <c r="H7" s="3">
        <f t="shared" si="1"/>
        <v>14.76</v>
      </c>
      <c r="I7" s="3">
        <f>F7/F5*100</f>
        <v>38.588235294117645</v>
      </c>
      <c r="J7" s="3">
        <f>H7/H5*100</f>
        <v>34.72941176470588</v>
      </c>
      <c r="K7" s="17" t="s">
        <v>201</v>
      </c>
      <c r="L7" s="75" t="s">
        <v>202</v>
      </c>
      <c r="M7" s="75" t="s">
        <v>203</v>
      </c>
      <c r="N7" s="75" t="s">
        <v>204</v>
      </c>
      <c r="O7" s="75" t="s">
        <v>205</v>
      </c>
      <c r="P7" s="75" t="s">
        <v>206</v>
      </c>
      <c r="Q7" s="74"/>
      <c r="S7" s="160" t="s">
        <v>80</v>
      </c>
      <c r="T7" s="160"/>
      <c r="U7" s="160"/>
      <c r="V7" s="160" t="s">
        <v>82</v>
      </c>
      <c r="W7" s="160"/>
      <c r="X7" s="42"/>
    </row>
    <row r="8" spans="2:27" ht="25.2" customHeight="1" thickBot="1" x14ac:dyDescent="0.35">
      <c r="B8" s="1">
        <v>4</v>
      </c>
      <c r="C8" s="2" t="s">
        <v>190</v>
      </c>
      <c r="D8" s="1"/>
      <c r="E8" s="1"/>
      <c r="F8" s="3">
        <f>F5-F6-F7</f>
        <v>86.5</v>
      </c>
      <c r="G8" s="3">
        <f>H8/F8*100</f>
        <v>13.248554913294797</v>
      </c>
      <c r="H8" s="3">
        <f>H5-H6-H7</f>
        <v>11.459999999999999</v>
      </c>
      <c r="I8" s="3">
        <f>I5-I6-I7</f>
        <v>40.705882352941181</v>
      </c>
      <c r="J8" s="3">
        <f>J5-J6-J7</f>
        <v>26.964705882352945</v>
      </c>
      <c r="K8" s="19">
        <f>180*9+F8</f>
        <v>1706.5</v>
      </c>
      <c r="L8" s="19">
        <f>180*9+F8/1.5</f>
        <v>1677.6666666666667</v>
      </c>
      <c r="M8" s="19">
        <f>K8/9</f>
        <v>189.61111111111111</v>
      </c>
      <c r="N8" s="19">
        <f>L8/9</f>
        <v>186.40740740740742</v>
      </c>
      <c r="O8" s="50" t="s">
        <v>41</v>
      </c>
      <c r="P8" s="162" t="s">
        <v>6</v>
      </c>
      <c r="Q8" s="162"/>
      <c r="S8" s="164" t="s">
        <v>123</v>
      </c>
      <c r="T8" s="164"/>
      <c r="U8" s="164"/>
      <c r="V8" s="160" t="s">
        <v>83</v>
      </c>
      <c r="W8" s="160"/>
      <c r="X8" s="168" t="s">
        <v>230</v>
      </c>
      <c r="Y8" s="168"/>
      <c r="Z8" s="160" t="s">
        <v>231</v>
      </c>
      <c r="AA8" s="160"/>
    </row>
    <row r="9" spans="2:27" ht="25.2" customHeight="1" thickBot="1" x14ac:dyDescent="0.35">
      <c r="B9" s="152" t="s">
        <v>235</v>
      </c>
      <c r="C9" s="152"/>
      <c r="D9" s="152"/>
      <c r="E9" s="152"/>
      <c r="F9" s="152"/>
      <c r="G9" s="152"/>
      <c r="H9" s="152"/>
      <c r="I9" s="152"/>
      <c r="J9" s="152"/>
      <c r="K9" s="8"/>
      <c r="L9" s="8"/>
      <c r="M9" s="8"/>
      <c r="N9" s="8"/>
      <c r="O9" s="13"/>
      <c r="P9" s="8"/>
      <c r="S9" s="163" t="s">
        <v>65</v>
      </c>
      <c r="T9" s="163"/>
      <c r="U9" s="163"/>
      <c r="V9" s="163"/>
      <c r="W9" s="163"/>
      <c r="X9" s="163"/>
      <c r="Y9" s="163"/>
    </row>
    <row r="10" spans="2:27"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3"/>
      <c r="T10" s="163"/>
      <c r="U10" s="163"/>
      <c r="V10" s="163"/>
      <c r="W10" s="163"/>
      <c r="X10" s="163"/>
      <c r="Y10" s="163"/>
    </row>
    <row r="11" spans="2:27" ht="24.6" thickBot="1" x14ac:dyDescent="0.35">
      <c r="B11" s="1">
        <v>1</v>
      </c>
      <c r="C11" s="2" t="s">
        <v>188</v>
      </c>
      <c r="D11" s="5">
        <v>250</v>
      </c>
      <c r="E11" s="4">
        <v>15</v>
      </c>
      <c r="F11" s="3">
        <f>D11*(100-E11)/100</f>
        <v>212.5</v>
      </c>
      <c r="G11" s="4">
        <v>28</v>
      </c>
      <c r="H11" s="3">
        <f>G11*F11/100</f>
        <v>59.5</v>
      </c>
      <c r="I11" s="3">
        <v>100</v>
      </c>
      <c r="J11" s="3">
        <v>100</v>
      </c>
      <c r="K11" s="11"/>
      <c r="L11" s="12"/>
      <c r="M11" s="12"/>
      <c r="N11" s="12"/>
      <c r="O11" s="12"/>
      <c r="P11" s="12"/>
    </row>
    <row r="12" spans="2:27" ht="24.75" customHeight="1" thickBot="1" x14ac:dyDescent="0.35">
      <c r="B12" s="5">
        <v>2</v>
      </c>
      <c r="C12" s="6" t="s">
        <v>189</v>
      </c>
      <c r="D12" s="5">
        <v>100</v>
      </c>
      <c r="E12" s="4">
        <v>12</v>
      </c>
      <c r="F12" s="4">
        <f t="shared" ref="F12:F13" si="2">D12*(100-E12)/100</f>
        <v>88</v>
      </c>
      <c r="G12" s="4">
        <v>40</v>
      </c>
      <c r="H12" s="4">
        <f t="shared" ref="H12:H13" si="3">G12*F12/100</f>
        <v>35.200000000000003</v>
      </c>
      <c r="I12" s="4">
        <f>F12/F11*100</f>
        <v>41.411764705882355</v>
      </c>
      <c r="J12" s="4">
        <f>H12/H11*100</f>
        <v>59.159663865546221</v>
      </c>
      <c r="K12" s="153" t="s">
        <v>200</v>
      </c>
      <c r="L12" s="154"/>
      <c r="M12" s="154"/>
      <c r="N12" s="154"/>
      <c r="O12" s="154"/>
      <c r="P12" s="154"/>
      <c r="Q12" s="154"/>
      <c r="S12" s="161" t="s">
        <v>64</v>
      </c>
      <c r="T12" s="161"/>
      <c r="U12" s="161"/>
      <c r="V12" s="161"/>
      <c r="W12" s="161"/>
      <c r="X12" s="161"/>
      <c r="Y12" s="161"/>
    </row>
    <row r="13" spans="2:27" ht="36.6" thickBot="1" x14ac:dyDescent="0.35">
      <c r="B13" s="1">
        <v>3</v>
      </c>
      <c r="C13" s="2" t="s">
        <v>207</v>
      </c>
      <c r="D13" s="5">
        <v>40</v>
      </c>
      <c r="E13" s="4">
        <v>18</v>
      </c>
      <c r="F13" s="3">
        <f t="shared" si="2"/>
        <v>32.799999999999997</v>
      </c>
      <c r="G13" s="4">
        <v>22</v>
      </c>
      <c r="H13" s="3">
        <f t="shared" si="3"/>
        <v>7.2159999999999993</v>
      </c>
      <c r="I13" s="3">
        <f>F13/F11*100</f>
        <v>15.435294117647057</v>
      </c>
      <c r="J13" s="3">
        <f>H13/H11*100</f>
        <v>12.127731092436973</v>
      </c>
      <c r="K13" s="17" t="s">
        <v>201</v>
      </c>
      <c r="L13" s="75" t="s">
        <v>202</v>
      </c>
      <c r="M13" s="75" t="s">
        <v>203</v>
      </c>
      <c r="N13" s="75" t="s">
        <v>204</v>
      </c>
      <c r="O13" s="75" t="s">
        <v>205</v>
      </c>
      <c r="P13" s="75" t="s">
        <v>206</v>
      </c>
      <c r="Q13" s="74"/>
      <c r="S13" s="161"/>
      <c r="T13" s="161"/>
      <c r="U13" s="161"/>
      <c r="V13" s="161"/>
      <c r="W13" s="161"/>
      <c r="X13" s="161"/>
      <c r="Y13" s="161"/>
    </row>
    <row r="14" spans="2:27" ht="24.6" thickBot="1" x14ac:dyDescent="0.35">
      <c r="B14" s="1">
        <v>4</v>
      </c>
      <c r="C14" s="2" t="s">
        <v>190</v>
      </c>
      <c r="D14" s="1"/>
      <c r="E14" s="1"/>
      <c r="F14" s="3">
        <f>F11-F12-F13</f>
        <v>91.7</v>
      </c>
      <c r="G14" s="3">
        <f>H14/F14*100</f>
        <v>18.630316248636856</v>
      </c>
      <c r="H14" s="3">
        <f>H11-H12-H13</f>
        <v>17.083999999999996</v>
      </c>
      <c r="I14" s="3">
        <f>I11-I12-I13</f>
        <v>43.152941176470591</v>
      </c>
      <c r="J14" s="3">
        <f>J11-J12-J13</f>
        <v>28.712605042016804</v>
      </c>
      <c r="K14" s="19">
        <f>180*9+F14</f>
        <v>1711.7</v>
      </c>
      <c r="L14" s="19">
        <f>180*9+F14/1.5</f>
        <v>1681.1333333333334</v>
      </c>
      <c r="M14" s="19">
        <f>K14/9</f>
        <v>190.1888888888889</v>
      </c>
      <c r="N14" s="19">
        <f>L14/9</f>
        <v>186.7925925925926</v>
      </c>
      <c r="O14" s="53" t="s">
        <v>119</v>
      </c>
      <c r="P14" s="162" t="s">
        <v>120</v>
      </c>
      <c r="Q14" s="162"/>
      <c r="S14" s="161"/>
      <c r="T14" s="161"/>
      <c r="U14" s="161"/>
      <c r="V14" s="161"/>
      <c r="W14" s="161"/>
      <c r="X14" s="161"/>
      <c r="Y14" s="161"/>
    </row>
    <row r="15" spans="2:27" x14ac:dyDescent="0.3">
      <c r="B15" s="156" t="s">
        <v>197</v>
      </c>
      <c r="C15" s="156"/>
      <c r="D15" s="156"/>
      <c r="E15" s="156"/>
      <c r="F15" s="156"/>
      <c r="G15" s="156"/>
      <c r="H15" s="156"/>
      <c r="I15" s="156"/>
      <c r="J15" s="156"/>
      <c r="S15" s="161"/>
      <c r="T15" s="161"/>
      <c r="U15" s="161"/>
      <c r="V15" s="161"/>
      <c r="W15" s="161"/>
      <c r="X15" s="161"/>
      <c r="Y15" s="161"/>
    </row>
    <row r="16" spans="2:27" ht="14.4" thickBot="1" x14ac:dyDescent="0.35">
      <c r="B16" s="157"/>
      <c r="C16" s="157"/>
      <c r="D16" s="157"/>
      <c r="E16" s="157"/>
      <c r="F16" s="157"/>
      <c r="G16" s="157"/>
      <c r="H16" s="157"/>
      <c r="I16" s="157"/>
      <c r="J16" s="157"/>
      <c r="S16" s="161"/>
      <c r="T16" s="161"/>
      <c r="U16" s="161"/>
      <c r="V16" s="161"/>
      <c r="W16" s="161"/>
      <c r="X16" s="161"/>
      <c r="Y16" s="161"/>
    </row>
    <row r="17" spans="2:25" ht="48.6" thickBot="1" x14ac:dyDescent="0.35">
      <c r="B17" s="1" t="s">
        <v>0</v>
      </c>
      <c r="C17" s="2" t="s">
        <v>187</v>
      </c>
      <c r="D17" s="2" t="s">
        <v>191</v>
      </c>
      <c r="E17" s="2" t="s">
        <v>2</v>
      </c>
      <c r="F17" s="2" t="s">
        <v>192</v>
      </c>
      <c r="G17" s="2" t="s">
        <v>1</v>
      </c>
      <c r="H17" s="2" t="s">
        <v>193</v>
      </c>
      <c r="I17" s="2" t="s">
        <v>194</v>
      </c>
      <c r="J17" s="2" t="s">
        <v>195</v>
      </c>
      <c r="K17" s="11"/>
      <c r="L17" s="12"/>
      <c r="M17" s="12"/>
      <c r="N17" s="12"/>
      <c r="O17" s="12"/>
      <c r="S17" s="161" t="s">
        <v>232</v>
      </c>
      <c r="T17" s="161"/>
      <c r="U17" s="161"/>
      <c r="V17" s="161"/>
      <c r="W17" s="161"/>
      <c r="X17" s="161"/>
      <c r="Y17" s="161"/>
    </row>
    <row r="18" spans="2:25" ht="24.6" thickBot="1" x14ac:dyDescent="0.35">
      <c r="B18" s="1">
        <v>1</v>
      </c>
      <c r="C18" s="2" t="s">
        <v>188</v>
      </c>
      <c r="D18" s="5">
        <v>120</v>
      </c>
      <c r="E18" s="4">
        <v>15</v>
      </c>
      <c r="F18" s="3">
        <f>D18*(100-E18)/100</f>
        <v>102</v>
      </c>
      <c r="G18" s="4">
        <v>22</v>
      </c>
      <c r="H18" s="3">
        <f>G18*F18/100</f>
        <v>22.44</v>
      </c>
      <c r="I18" s="3">
        <v>100</v>
      </c>
      <c r="J18" s="3">
        <v>100</v>
      </c>
      <c r="K18" s="11"/>
      <c r="L18" s="12"/>
      <c r="M18" s="12"/>
      <c r="N18" s="12"/>
      <c r="O18" s="12"/>
    </row>
    <row r="19" spans="2:25" ht="36.6" thickBot="1" x14ac:dyDescent="0.35">
      <c r="B19" s="5">
        <v>2</v>
      </c>
      <c r="C19" s="6" t="s">
        <v>189</v>
      </c>
      <c r="D19" s="5">
        <v>35</v>
      </c>
      <c r="E19" s="4">
        <v>12</v>
      </c>
      <c r="F19" s="4">
        <f t="shared" ref="F19:F20" si="4">D19*(100-E19)/100</f>
        <v>30.8</v>
      </c>
      <c r="G19" s="4">
        <v>36</v>
      </c>
      <c r="H19" s="4">
        <f t="shared" ref="H19:H20" si="5">G19*F19/100</f>
        <v>11.087999999999999</v>
      </c>
      <c r="I19" s="4">
        <f>F19/F18*100</f>
        <v>30.196078431372548</v>
      </c>
      <c r="J19" s="4">
        <f>H19/H18*100</f>
        <v>49.411764705882341</v>
      </c>
      <c r="K19" s="153" t="s">
        <v>200</v>
      </c>
      <c r="L19" s="154"/>
      <c r="M19" s="154"/>
      <c r="N19" s="154"/>
      <c r="O19" s="154"/>
      <c r="P19" s="154"/>
      <c r="Q19" s="154"/>
    </row>
    <row r="20" spans="2:25" ht="36.6" thickBot="1" x14ac:dyDescent="0.35">
      <c r="B20" s="1">
        <v>3</v>
      </c>
      <c r="C20" s="2" t="s">
        <v>207</v>
      </c>
      <c r="D20" s="5">
        <v>24</v>
      </c>
      <c r="E20" s="4">
        <v>18</v>
      </c>
      <c r="F20" s="3">
        <f t="shared" si="4"/>
        <v>19.68</v>
      </c>
      <c r="G20" s="4">
        <v>18</v>
      </c>
      <c r="H20" s="3">
        <f t="shared" si="5"/>
        <v>3.5424000000000002</v>
      </c>
      <c r="I20" s="3">
        <f>F20/F18*100</f>
        <v>19.294117647058822</v>
      </c>
      <c r="J20" s="3">
        <f>H20/H18*100</f>
        <v>15.786096256684493</v>
      </c>
      <c r="K20" s="17" t="s">
        <v>201</v>
      </c>
      <c r="L20" s="75" t="s">
        <v>202</v>
      </c>
      <c r="M20" s="75" t="s">
        <v>203</v>
      </c>
      <c r="N20" s="75" t="s">
        <v>204</v>
      </c>
      <c r="O20" s="75" t="s">
        <v>205</v>
      </c>
      <c r="P20" s="75" t="s">
        <v>206</v>
      </c>
      <c r="Q20" s="74"/>
    </row>
    <row r="21" spans="2:25" ht="24.6" thickBot="1" x14ac:dyDescent="0.35">
      <c r="B21" s="1">
        <v>4</v>
      </c>
      <c r="C21" s="2" t="s">
        <v>190</v>
      </c>
      <c r="D21" s="1"/>
      <c r="E21" s="1"/>
      <c r="F21" s="3">
        <f>F18-F19-F20</f>
        <v>51.52</v>
      </c>
      <c r="G21" s="3">
        <f>H21/F21*100</f>
        <v>15.158385093167704</v>
      </c>
      <c r="H21" s="3">
        <f>H18-H19-H20</f>
        <v>7.8096000000000014</v>
      </c>
      <c r="I21" s="3">
        <f>I18-I19-I20</f>
        <v>50.509803921568633</v>
      </c>
      <c r="J21" s="3">
        <f>J18-J19-J20</f>
        <v>34.802139037433165</v>
      </c>
      <c r="K21" s="19">
        <f>180*9+F21</f>
        <v>1671.52</v>
      </c>
      <c r="L21" s="19">
        <f>180*9+F21/1.5</f>
        <v>1654.3466666666666</v>
      </c>
      <c r="M21" s="19">
        <f>K21/9</f>
        <v>185.72444444444443</v>
      </c>
      <c r="N21" s="19">
        <f>L21/9</f>
        <v>183.81629629629629</v>
      </c>
      <c r="O21" s="53" t="s">
        <v>121</v>
      </c>
      <c r="P21" s="162" t="s">
        <v>122</v>
      </c>
      <c r="Q21" s="162"/>
    </row>
  </sheetData>
  <mergeCells count="22">
    <mergeCell ref="P21:Q21"/>
    <mergeCell ref="K12:Q12"/>
    <mergeCell ref="P14:Q14"/>
    <mergeCell ref="K19:Q19"/>
    <mergeCell ref="P8:Q8"/>
    <mergeCell ref="B9:J9"/>
    <mergeCell ref="S9:Y10"/>
    <mergeCell ref="V7:W7"/>
    <mergeCell ref="V8:W8"/>
    <mergeCell ref="S7:U7"/>
    <mergeCell ref="S8:U8"/>
    <mergeCell ref="X8:Y8"/>
    <mergeCell ref="Z8:AA8"/>
    <mergeCell ref="S17:Y17"/>
    <mergeCell ref="B2:J2"/>
    <mergeCell ref="B3:J3"/>
    <mergeCell ref="S4:X4"/>
    <mergeCell ref="S5:X5"/>
    <mergeCell ref="K6:Q6"/>
    <mergeCell ref="S6:X6"/>
    <mergeCell ref="S12:Y16"/>
    <mergeCell ref="B15:J16"/>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X21"/>
  <sheetViews>
    <sheetView topLeftCell="B1" workbookViewId="0">
      <selection activeCell="B9" sqref="B9:J9"/>
    </sheetView>
  </sheetViews>
  <sheetFormatPr defaultColWidth="8.88671875" defaultRowHeight="13.8" x14ac:dyDescent="0.3"/>
  <cols>
    <col min="1" max="1" width="1.88671875" style="43" customWidth="1"/>
    <col min="2" max="2" width="4.109375" style="43" customWidth="1"/>
    <col min="3" max="3" width="14.44140625" style="43" customWidth="1"/>
    <col min="4" max="4" width="10.33203125" style="43" customWidth="1"/>
    <col min="5" max="5" width="6.33203125" style="43" customWidth="1"/>
    <col min="6" max="6" width="10.6640625" style="43" customWidth="1"/>
    <col min="7" max="7" width="8.5546875" style="43" customWidth="1"/>
    <col min="8" max="8" width="9.88671875" style="43" customWidth="1"/>
    <col min="9" max="9" width="10.88671875" style="43" customWidth="1"/>
    <col min="10" max="10" width="11.44140625" style="43" customWidth="1"/>
    <col min="11" max="11" width="15.6640625" style="43" customWidth="1"/>
    <col min="12" max="12" width="16.88671875" style="43" customWidth="1"/>
    <col min="13" max="13" width="11.44140625" style="43" customWidth="1"/>
    <col min="14" max="14" width="14.44140625" style="43" customWidth="1"/>
    <col min="15" max="15" width="16.6640625" style="43" customWidth="1"/>
    <col min="16" max="16" width="11.44140625" style="43" customWidth="1"/>
    <col min="17" max="17" width="7.33203125" style="43" customWidth="1"/>
    <col min="18" max="19" width="8.88671875" style="43"/>
    <col min="20" max="20" width="17.33203125" style="43" customWidth="1"/>
    <col min="21" max="16384" width="8.88671875" style="43"/>
  </cols>
  <sheetData>
    <row r="1" spans="2:24" ht="15.6" customHeight="1" x14ac:dyDescent="0.3"/>
    <row r="2" spans="2:24" ht="20.399999999999999" customHeight="1" x14ac:dyDescent="0.3">
      <c r="B2" s="155"/>
      <c r="C2" s="155"/>
      <c r="D2" s="155"/>
      <c r="E2" s="155"/>
      <c r="F2" s="155"/>
      <c r="G2" s="155"/>
      <c r="H2" s="155"/>
      <c r="I2" s="155"/>
      <c r="J2" s="155"/>
      <c r="K2" s="44"/>
      <c r="L2" s="44"/>
      <c r="M2" s="44"/>
      <c r="N2" s="44"/>
      <c r="O2" s="44"/>
      <c r="P2" s="4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200</v>
      </c>
      <c r="E5" s="4">
        <v>15</v>
      </c>
      <c r="F5" s="3">
        <f>D5*(100-E5)/100</f>
        <v>170</v>
      </c>
      <c r="G5" s="4">
        <v>20</v>
      </c>
      <c r="H5" s="3">
        <f>G5*F5/100</f>
        <v>34</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40</v>
      </c>
      <c r="E6" s="4">
        <v>12</v>
      </c>
      <c r="F6" s="4">
        <f t="shared" ref="F6:F7" si="0">D6*(100-E6)/100</f>
        <v>35.200000000000003</v>
      </c>
      <c r="G6" s="4">
        <v>37</v>
      </c>
      <c r="H6" s="4">
        <f t="shared" ref="H6:H7" si="1">G6*F6/100</f>
        <v>13.024000000000001</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80</v>
      </c>
      <c r="E7" s="4">
        <v>18</v>
      </c>
      <c r="F7" s="3">
        <f t="shared" si="0"/>
        <v>65.599999999999994</v>
      </c>
      <c r="G7" s="4">
        <v>18</v>
      </c>
      <c r="H7" s="3">
        <f t="shared" si="1"/>
        <v>11.808</v>
      </c>
      <c r="I7" s="3">
        <f>F7/F5*100</f>
        <v>38.588235294117645</v>
      </c>
      <c r="J7" s="3">
        <f>H7/H5*100</f>
        <v>34.72941176470588</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69.200000000000017</v>
      </c>
      <c r="G8" s="3">
        <f>H8/F8*100</f>
        <v>13.248554913294793</v>
      </c>
      <c r="H8" s="3">
        <f>H5-H6-H7</f>
        <v>9.1679999999999993</v>
      </c>
      <c r="I8" s="3">
        <f>I5-I6-I7</f>
        <v>40.705882352941167</v>
      </c>
      <c r="J8" s="3">
        <f>J5-J6-J7</f>
        <v>26.964705882352945</v>
      </c>
      <c r="K8" s="19">
        <f>180*9+F8</f>
        <v>1689.2</v>
      </c>
      <c r="L8" s="19">
        <f>180*9+F8/1.5</f>
        <v>1666.1333333333334</v>
      </c>
      <c r="M8" s="19">
        <f>K8/9</f>
        <v>187.6888888888889</v>
      </c>
      <c r="N8" s="19">
        <f>L8/9</f>
        <v>185.12592592592594</v>
      </c>
      <c r="O8" s="45" t="s">
        <v>84</v>
      </c>
      <c r="P8" s="162" t="s">
        <v>17</v>
      </c>
      <c r="Q8" s="162"/>
      <c r="S8" s="160" t="s">
        <v>80</v>
      </c>
      <c r="T8" s="160"/>
      <c r="U8" s="160" t="s">
        <v>82</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83</v>
      </c>
      <c r="V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231</v>
      </c>
      <c r="V10" s="160"/>
    </row>
    <row r="11" spans="2:24" ht="24.6" thickBot="1" x14ac:dyDescent="0.35">
      <c r="B11" s="1">
        <v>1</v>
      </c>
      <c r="C11" s="2" t="s">
        <v>188</v>
      </c>
      <c r="D11" s="5">
        <v>200</v>
      </c>
      <c r="E11" s="4">
        <v>15</v>
      </c>
      <c r="F11" s="3">
        <f>D11*(100-E11)/100</f>
        <v>170</v>
      </c>
      <c r="G11" s="4">
        <v>28</v>
      </c>
      <c r="H11" s="3">
        <f>G11*F11/100</f>
        <v>47.6</v>
      </c>
      <c r="I11" s="3">
        <v>100</v>
      </c>
      <c r="J11" s="3">
        <v>100</v>
      </c>
      <c r="K11" s="11"/>
      <c r="L11" s="12"/>
      <c r="M11" s="12"/>
      <c r="N11" s="12"/>
      <c r="O11" s="12"/>
      <c r="P11" s="12"/>
    </row>
    <row r="12" spans="2:24" ht="36.6" thickBot="1" x14ac:dyDescent="0.35">
      <c r="B12" s="5">
        <v>2</v>
      </c>
      <c r="C12" s="6" t="s">
        <v>189</v>
      </c>
      <c r="D12" s="5">
        <v>80</v>
      </c>
      <c r="E12" s="4">
        <v>12</v>
      </c>
      <c r="F12" s="4">
        <f t="shared" ref="F12:F13" si="2">D12*(100-E12)/100</f>
        <v>70.400000000000006</v>
      </c>
      <c r="G12" s="4">
        <v>40</v>
      </c>
      <c r="H12" s="4">
        <f t="shared" ref="H12:H13" si="3">G12*F12/100</f>
        <v>28.16</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30</v>
      </c>
      <c r="E13" s="4">
        <v>18</v>
      </c>
      <c r="F13" s="3">
        <f t="shared" si="2"/>
        <v>24.6</v>
      </c>
      <c r="G13" s="4">
        <v>22</v>
      </c>
      <c r="H13" s="3">
        <f t="shared" si="3"/>
        <v>5.4120000000000008</v>
      </c>
      <c r="I13" s="3">
        <f>F13/F11*100</f>
        <v>14.470588235294118</v>
      </c>
      <c r="J13" s="3">
        <f>H13/H11*100</f>
        <v>11.369747899159666</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75</v>
      </c>
      <c r="G14" s="3">
        <f>H14/F14*100</f>
        <v>18.704000000000001</v>
      </c>
      <c r="H14" s="3">
        <f>H11-H12-H13</f>
        <v>14.028</v>
      </c>
      <c r="I14" s="3">
        <f>I11-I12-I13</f>
        <v>44.117647058823522</v>
      </c>
      <c r="J14" s="3">
        <f>J11-J12-J13</f>
        <v>29.470588235294112</v>
      </c>
      <c r="K14" s="19">
        <f>180*9+F14</f>
        <v>1695</v>
      </c>
      <c r="L14" s="19">
        <f>180*9+F14/1.5</f>
        <v>1670</v>
      </c>
      <c r="M14" s="19">
        <f>K14/9</f>
        <v>188.33333333333334</v>
      </c>
      <c r="N14" s="19">
        <f>L14/9</f>
        <v>185.55555555555554</v>
      </c>
      <c r="O14" s="55" t="s">
        <v>60</v>
      </c>
      <c r="P14" s="162" t="s">
        <v>85</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100</v>
      </c>
      <c r="E18" s="4">
        <v>15</v>
      </c>
      <c r="F18" s="3">
        <f>D18*(100-E18)/100</f>
        <v>85</v>
      </c>
      <c r="G18" s="4">
        <v>22</v>
      </c>
      <c r="H18" s="3">
        <f>G18*F18/100</f>
        <v>18.7</v>
      </c>
      <c r="I18" s="3">
        <v>100</v>
      </c>
      <c r="J18" s="3">
        <v>100</v>
      </c>
      <c r="K18" s="11"/>
      <c r="L18" s="12"/>
      <c r="M18" s="12"/>
      <c r="N18" s="12"/>
      <c r="O18" s="12"/>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20</v>
      </c>
      <c r="E20" s="4">
        <v>18</v>
      </c>
      <c r="F20" s="3">
        <f t="shared" si="4"/>
        <v>16.399999999999999</v>
      </c>
      <c r="G20" s="4">
        <v>18</v>
      </c>
      <c r="H20" s="3">
        <f t="shared" si="5"/>
        <v>2.952</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42.2</v>
      </c>
      <c r="G21" s="3">
        <f>H21/F21*100</f>
        <v>14.796208530805686</v>
      </c>
      <c r="H21" s="3">
        <f>H18-H19-H20</f>
        <v>6.2439999999999998</v>
      </c>
      <c r="I21" s="3">
        <f>I18-I19-I20</f>
        <v>49.647058823529406</v>
      </c>
      <c r="J21" s="3">
        <f>J18-J19-J20</f>
        <v>33.390374331550802</v>
      </c>
      <c r="K21" s="19">
        <f>180*9+F21</f>
        <v>1662.2</v>
      </c>
      <c r="L21" s="19">
        <f>180*9+F21/1.5</f>
        <v>1648.1333333333334</v>
      </c>
      <c r="M21" s="19">
        <f>K21/9</f>
        <v>184.6888888888889</v>
      </c>
      <c r="N21" s="19">
        <f>L21/9</f>
        <v>183.12592592592594</v>
      </c>
      <c r="O21" s="45" t="s">
        <v>56</v>
      </c>
      <c r="P21" s="162" t="s">
        <v>86</v>
      </c>
      <c r="Q21" s="162"/>
    </row>
  </sheetData>
  <mergeCells count="23">
    <mergeCell ref="B2:J2"/>
    <mergeCell ref="B3:J3"/>
    <mergeCell ref="S4:X4"/>
    <mergeCell ref="S5:X5"/>
    <mergeCell ref="K6:Q6"/>
    <mergeCell ref="S6:X6"/>
    <mergeCell ref="S7:X7"/>
    <mergeCell ref="P8:Q8"/>
    <mergeCell ref="S8:T8"/>
    <mergeCell ref="B9:J9"/>
    <mergeCell ref="S9:T9"/>
    <mergeCell ref="U9:V9"/>
    <mergeCell ref="U8:V8"/>
    <mergeCell ref="S12:U12"/>
    <mergeCell ref="V12:X12"/>
    <mergeCell ref="S13:X13"/>
    <mergeCell ref="S10:T10"/>
    <mergeCell ref="U10:V10"/>
    <mergeCell ref="P14:Q14"/>
    <mergeCell ref="B15:J16"/>
    <mergeCell ref="K19:Q19"/>
    <mergeCell ref="P21:Q21"/>
    <mergeCell ref="K12:Q12"/>
  </mergeCells>
  <phoneticPr fontId="5" type="noConversion"/>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X21"/>
  <sheetViews>
    <sheetView topLeftCell="B1" workbookViewId="0">
      <selection activeCell="B9" sqref="B9:J9"/>
    </sheetView>
  </sheetViews>
  <sheetFormatPr defaultColWidth="8.88671875" defaultRowHeight="13.8" x14ac:dyDescent="0.3"/>
  <cols>
    <col min="1" max="1" width="1.88671875" style="43" customWidth="1"/>
    <col min="2" max="2" width="4.109375" style="43" customWidth="1"/>
    <col min="3" max="3" width="14.44140625" style="43" customWidth="1"/>
    <col min="4" max="4" width="10.33203125" style="43" customWidth="1"/>
    <col min="5" max="5" width="6.33203125" style="43" customWidth="1"/>
    <col min="6" max="6" width="10.6640625" style="43" customWidth="1"/>
    <col min="7" max="7" width="8.5546875" style="43" customWidth="1"/>
    <col min="8" max="8" width="9.88671875" style="43" customWidth="1"/>
    <col min="9" max="9" width="10.88671875" style="43" customWidth="1"/>
    <col min="10" max="10" width="11.44140625" style="43" customWidth="1"/>
    <col min="11" max="11" width="15.6640625" style="43" customWidth="1"/>
    <col min="12" max="12" width="16.88671875" style="43" customWidth="1"/>
    <col min="13" max="13" width="11.44140625" style="43" customWidth="1"/>
    <col min="14" max="14" width="14.44140625" style="43" customWidth="1"/>
    <col min="15" max="15" width="16.6640625" style="43" customWidth="1"/>
    <col min="16" max="16" width="11.44140625" style="43" customWidth="1"/>
    <col min="17" max="17" width="7.33203125" style="43" customWidth="1"/>
    <col min="18" max="19" width="8.88671875" style="43"/>
    <col min="20" max="20" width="17.33203125" style="43" customWidth="1"/>
    <col min="21" max="16384" width="8.88671875" style="43"/>
  </cols>
  <sheetData>
    <row r="1" spans="2:24" ht="15.6" customHeight="1" x14ac:dyDescent="0.3"/>
    <row r="2" spans="2:24" ht="20.399999999999999" customHeight="1" x14ac:dyDescent="0.3">
      <c r="B2" s="155"/>
      <c r="C2" s="155"/>
      <c r="D2" s="155"/>
      <c r="E2" s="155"/>
      <c r="F2" s="155"/>
      <c r="G2" s="155"/>
      <c r="H2" s="155"/>
      <c r="I2" s="155"/>
      <c r="J2" s="155"/>
      <c r="K2" s="44"/>
      <c r="L2" s="44"/>
      <c r="M2" s="44"/>
      <c r="N2" s="44"/>
      <c r="O2" s="44"/>
      <c r="P2" s="4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100</v>
      </c>
      <c r="E5" s="4">
        <v>15</v>
      </c>
      <c r="F5" s="3">
        <f>D5*(100-E5)/100</f>
        <v>85</v>
      </c>
      <c r="G5" s="4">
        <v>20</v>
      </c>
      <c r="H5" s="3">
        <f>G5*F5/100</f>
        <v>17</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20</v>
      </c>
      <c r="E6" s="4">
        <v>12</v>
      </c>
      <c r="F6" s="4">
        <f t="shared" ref="F6:F7" si="0">D6*(100-E6)/100</f>
        <v>17.600000000000001</v>
      </c>
      <c r="G6" s="4">
        <v>37</v>
      </c>
      <c r="H6" s="4">
        <f t="shared" ref="H6:H7" si="1">G6*F6/100</f>
        <v>6.5120000000000005</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40</v>
      </c>
      <c r="E7" s="4">
        <v>18</v>
      </c>
      <c r="F7" s="3">
        <f t="shared" si="0"/>
        <v>32.799999999999997</v>
      </c>
      <c r="G7" s="4">
        <v>18</v>
      </c>
      <c r="H7" s="3">
        <f t="shared" si="1"/>
        <v>5.9039999999999999</v>
      </c>
      <c r="I7" s="3">
        <f>F7/F5*100</f>
        <v>38.588235294117645</v>
      </c>
      <c r="J7" s="3">
        <f>H7/H5*100</f>
        <v>34.72941176470588</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34.600000000000009</v>
      </c>
      <c r="G8" s="3">
        <f>H8/F8*100</f>
        <v>13.248554913294793</v>
      </c>
      <c r="H8" s="3">
        <f>H5-H6-H7</f>
        <v>4.5839999999999996</v>
      </c>
      <c r="I8" s="3">
        <f>I5-I6-I7</f>
        <v>40.705882352941167</v>
      </c>
      <c r="J8" s="3">
        <f>J5-J6-J7</f>
        <v>26.964705882352945</v>
      </c>
      <c r="K8" s="19">
        <f>85*9+F8</f>
        <v>799.6</v>
      </c>
      <c r="L8" s="19">
        <f>85*9+F8/1.5</f>
        <v>788.06666666666672</v>
      </c>
      <c r="M8" s="19">
        <f>K8/9</f>
        <v>88.844444444444449</v>
      </c>
      <c r="N8" s="19">
        <f>L8/9</f>
        <v>87.56296296296297</v>
      </c>
      <c r="O8" s="45" t="s">
        <v>89</v>
      </c>
      <c r="P8" s="162" t="s">
        <v>49</v>
      </c>
      <c r="Q8" s="162"/>
      <c r="S8" s="160" t="s">
        <v>80</v>
      </c>
      <c r="T8" s="160"/>
      <c r="U8" s="160" t="s">
        <v>87</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88</v>
      </c>
      <c r="V9" s="160"/>
      <c r="W9" s="54"/>
      <c r="X9" s="54"/>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231</v>
      </c>
      <c r="V10" s="160"/>
    </row>
    <row r="11" spans="2:24" ht="24.6" thickBot="1" x14ac:dyDescent="0.35">
      <c r="B11" s="1">
        <v>1</v>
      </c>
      <c r="C11" s="2" t="s">
        <v>188</v>
      </c>
      <c r="D11" s="5">
        <v>100</v>
      </c>
      <c r="E11" s="4">
        <v>15</v>
      </c>
      <c r="F11" s="3">
        <f>D11*(100-E11)/100</f>
        <v>85</v>
      </c>
      <c r="G11" s="4">
        <v>28</v>
      </c>
      <c r="H11" s="3">
        <f>G11*F11/100</f>
        <v>23.8</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40</v>
      </c>
      <c r="H12" s="4">
        <f t="shared" ref="H12:H13" si="3">G12*F12/100</f>
        <v>14.08</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10</v>
      </c>
      <c r="E13" s="4">
        <v>18</v>
      </c>
      <c r="F13" s="3">
        <f t="shared" si="2"/>
        <v>8.1999999999999993</v>
      </c>
      <c r="G13" s="4">
        <v>22</v>
      </c>
      <c r="H13" s="3">
        <f t="shared" si="3"/>
        <v>1.8039999999999998</v>
      </c>
      <c r="I13" s="3">
        <f>F13/F11*100</f>
        <v>9.6470588235294112</v>
      </c>
      <c r="J13" s="3">
        <f>H13/H11*100</f>
        <v>7.5798319327731081</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41.599999999999994</v>
      </c>
      <c r="G14" s="3">
        <f>H14/F14*100</f>
        <v>19.028846153846157</v>
      </c>
      <c r="H14" s="3">
        <f>H11-H12-H13</f>
        <v>7.9160000000000004</v>
      </c>
      <c r="I14" s="3">
        <f>I11-I12-I13</f>
        <v>48.941176470588225</v>
      </c>
      <c r="J14" s="3">
        <f>J11-J12-J13</f>
        <v>33.260504201680668</v>
      </c>
      <c r="K14" s="19">
        <f>85*9+F14</f>
        <v>806.6</v>
      </c>
      <c r="L14" s="19">
        <f>85*9+F14/1.5</f>
        <v>792.73333333333335</v>
      </c>
      <c r="M14" s="19">
        <f>K14/9</f>
        <v>89.62222222222222</v>
      </c>
      <c r="N14" s="19">
        <f>L14/9</f>
        <v>88.081481481481489</v>
      </c>
      <c r="O14" s="45" t="s">
        <v>90</v>
      </c>
      <c r="P14" s="162" t="s">
        <v>91</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60</v>
      </c>
      <c r="E18" s="4">
        <v>15</v>
      </c>
      <c r="F18" s="3">
        <f>D18*(100-E18)/100</f>
        <v>51</v>
      </c>
      <c r="G18" s="4">
        <v>22</v>
      </c>
      <c r="H18" s="3">
        <f>G18*F18/100</f>
        <v>11.22</v>
      </c>
      <c r="I18" s="3">
        <v>100</v>
      </c>
      <c r="J18" s="3">
        <v>100</v>
      </c>
      <c r="K18" s="11"/>
      <c r="L18" s="12"/>
      <c r="M18" s="12"/>
      <c r="N18" s="12"/>
      <c r="O18" s="12"/>
    </row>
    <row r="19" spans="2:17" ht="36.6" thickBot="1" x14ac:dyDescent="0.35">
      <c r="B19" s="5">
        <v>2</v>
      </c>
      <c r="C19" s="6" t="s">
        <v>189</v>
      </c>
      <c r="D19" s="5">
        <v>18</v>
      </c>
      <c r="E19" s="4">
        <v>12</v>
      </c>
      <c r="F19" s="4">
        <f t="shared" ref="F19:F20" si="4">D19*(100-E19)/100</f>
        <v>15.84</v>
      </c>
      <c r="G19" s="4">
        <v>36</v>
      </c>
      <c r="H19" s="4">
        <f t="shared" ref="H19:H20" si="5">G19*F19/100</f>
        <v>5.7023999999999999</v>
      </c>
      <c r="I19" s="4">
        <f>F19/F18*100</f>
        <v>31.058823529411768</v>
      </c>
      <c r="J19" s="4">
        <f>H19/H18*100</f>
        <v>50.823529411764703</v>
      </c>
      <c r="K19" s="153" t="s">
        <v>200</v>
      </c>
      <c r="L19" s="154"/>
      <c r="M19" s="154"/>
      <c r="N19" s="154"/>
      <c r="O19" s="154"/>
      <c r="P19" s="154"/>
      <c r="Q19" s="154"/>
    </row>
    <row r="20" spans="2:17" ht="36.6" thickBot="1" x14ac:dyDescent="0.35">
      <c r="B20" s="1">
        <v>3</v>
      </c>
      <c r="C20" s="2" t="s">
        <v>207</v>
      </c>
      <c r="D20" s="5">
        <v>12</v>
      </c>
      <c r="E20" s="4">
        <v>18</v>
      </c>
      <c r="F20" s="3">
        <f t="shared" si="4"/>
        <v>9.84</v>
      </c>
      <c r="G20" s="4">
        <v>18</v>
      </c>
      <c r="H20" s="3">
        <f t="shared" si="5"/>
        <v>1.7712000000000001</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25.319999999999997</v>
      </c>
      <c r="G21" s="3">
        <f>H21/F21*100</f>
        <v>14.796208530805691</v>
      </c>
      <c r="H21" s="3">
        <f>H18-H19-H20</f>
        <v>3.7464000000000004</v>
      </c>
      <c r="I21" s="3">
        <f>I18-I19-I20</f>
        <v>49.647058823529406</v>
      </c>
      <c r="J21" s="3">
        <f>J18-J19-J20</f>
        <v>33.390374331550802</v>
      </c>
      <c r="K21" s="19">
        <f>85*9+F21</f>
        <v>790.32</v>
      </c>
      <c r="L21" s="19">
        <f>85*9+F21/1.5</f>
        <v>781.88</v>
      </c>
      <c r="M21" s="19">
        <f>K21/9</f>
        <v>87.813333333333333</v>
      </c>
      <c r="N21" s="19">
        <f>L21/9</f>
        <v>86.87555555555555</v>
      </c>
      <c r="O21" s="45" t="s">
        <v>92</v>
      </c>
      <c r="P21" s="162" t="s">
        <v>93</v>
      </c>
      <c r="Q21" s="162"/>
    </row>
  </sheetData>
  <mergeCells count="23">
    <mergeCell ref="B2:J2"/>
    <mergeCell ref="B3:J3"/>
    <mergeCell ref="S4:X4"/>
    <mergeCell ref="S5:X5"/>
    <mergeCell ref="K6:Q6"/>
    <mergeCell ref="S6:X6"/>
    <mergeCell ref="S7:X7"/>
    <mergeCell ref="P8:Q8"/>
    <mergeCell ref="S8:T8"/>
    <mergeCell ref="B9:J9"/>
    <mergeCell ref="U8:V8"/>
    <mergeCell ref="S9:T9"/>
    <mergeCell ref="U9:V9"/>
    <mergeCell ref="S12:U12"/>
    <mergeCell ref="V12:X12"/>
    <mergeCell ref="S13:X13"/>
    <mergeCell ref="S10:T10"/>
    <mergeCell ref="U10:V10"/>
    <mergeCell ref="P14:Q14"/>
    <mergeCell ref="B15:J16"/>
    <mergeCell ref="K19:Q19"/>
    <mergeCell ref="P21:Q21"/>
    <mergeCell ref="K12:Q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X21"/>
  <sheetViews>
    <sheetView topLeftCell="B1" workbookViewId="0">
      <selection activeCell="B3" sqref="B3:J3"/>
    </sheetView>
  </sheetViews>
  <sheetFormatPr defaultColWidth="8.88671875" defaultRowHeight="13.8" x14ac:dyDescent="0.3"/>
  <cols>
    <col min="1" max="1" width="1.88671875" style="43" customWidth="1"/>
    <col min="2" max="2" width="4.109375" style="43" customWidth="1"/>
    <col min="3" max="3" width="14.44140625" style="43" customWidth="1"/>
    <col min="4" max="4" width="10.33203125" style="43" customWidth="1"/>
    <col min="5" max="5" width="6.33203125" style="43" customWidth="1"/>
    <col min="6" max="6" width="10.6640625" style="43" customWidth="1"/>
    <col min="7" max="7" width="8.5546875" style="43" customWidth="1"/>
    <col min="8" max="8" width="9.88671875" style="43" customWidth="1"/>
    <col min="9" max="9" width="10.88671875" style="43" customWidth="1"/>
    <col min="10" max="10" width="11.44140625" style="43" customWidth="1"/>
    <col min="11" max="11" width="15.6640625" style="43" customWidth="1"/>
    <col min="12" max="12" width="16.88671875" style="43" customWidth="1"/>
    <col min="13" max="13" width="11.44140625" style="43" customWidth="1"/>
    <col min="14" max="14" width="14.44140625" style="43" customWidth="1"/>
    <col min="15" max="15" width="16.6640625" style="43" customWidth="1"/>
    <col min="16" max="16" width="11.44140625" style="43" customWidth="1"/>
    <col min="17" max="17" width="7.33203125" style="43" customWidth="1"/>
    <col min="18" max="19" width="8.88671875" style="43"/>
    <col min="20" max="20" width="15" style="43" customWidth="1"/>
    <col min="21" max="16384" width="8.88671875" style="43"/>
  </cols>
  <sheetData>
    <row r="1" spans="2:24" ht="15.6" customHeight="1" x14ac:dyDescent="0.3"/>
    <row r="2" spans="2:24" ht="20.399999999999999" customHeight="1" x14ac:dyDescent="0.3">
      <c r="B2" s="155"/>
      <c r="C2" s="155"/>
      <c r="D2" s="155"/>
      <c r="E2" s="155"/>
      <c r="F2" s="155"/>
      <c r="G2" s="155"/>
      <c r="H2" s="155"/>
      <c r="I2" s="155"/>
      <c r="J2" s="155"/>
      <c r="K2" s="44"/>
      <c r="L2" s="44"/>
      <c r="M2" s="44"/>
      <c r="N2" s="44"/>
      <c r="O2" s="44"/>
      <c r="P2" s="4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200</v>
      </c>
      <c r="E5" s="4">
        <v>15</v>
      </c>
      <c r="F5" s="3">
        <f>D5*(100-E5)/100</f>
        <v>170</v>
      </c>
      <c r="G5" s="4">
        <v>20</v>
      </c>
      <c r="H5" s="3">
        <f>G5*F5/100</f>
        <v>34</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40</v>
      </c>
      <c r="E6" s="4">
        <v>12</v>
      </c>
      <c r="F6" s="4">
        <f t="shared" ref="F6:F7" si="0">D6*(100-E6)/100</f>
        <v>35.200000000000003</v>
      </c>
      <c r="G6" s="4">
        <v>37</v>
      </c>
      <c r="H6" s="4">
        <f t="shared" ref="H6:H7" si="1">G6*F6/100</f>
        <v>13.024000000000001</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80</v>
      </c>
      <c r="E7" s="4">
        <v>18</v>
      </c>
      <c r="F7" s="3">
        <f t="shared" si="0"/>
        <v>65.599999999999994</v>
      </c>
      <c r="G7" s="4">
        <v>18</v>
      </c>
      <c r="H7" s="3">
        <f t="shared" si="1"/>
        <v>11.808</v>
      </c>
      <c r="I7" s="3">
        <f>F7/F5*100</f>
        <v>38.588235294117645</v>
      </c>
      <c r="J7" s="3">
        <f>H7/H5*100</f>
        <v>34.72941176470588</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69.200000000000017</v>
      </c>
      <c r="G8" s="3">
        <f>H8/F8*100</f>
        <v>13.248554913294793</v>
      </c>
      <c r="H8" s="3">
        <f>H5-H6-H7</f>
        <v>9.1679999999999993</v>
      </c>
      <c r="I8" s="3">
        <f>I5-I6-I7</f>
        <v>40.705882352941167</v>
      </c>
      <c r="J8" s="3">
        <f>J5-J6-J7</f>
        <v>26.964705882352945</v>
      </c>
      <c r="K8" s="19">
        <f>180*9+F8</f>
        <v>1689.2</v>
      </c>
      <c r="L8" s="19">
        <f>180*9+F8/1.5</f>
        <v>1666.1333333333334</v>
      </c>
      <c r="M8" s="19">
        <f>K8/9</f>
        <v>187.6888888888889</v>
      </c>
      <c r="N8" s="19">
        <f>L8/9</f>
        <v>185.12592592592594</v>
      </c>
      <c r="O8" s="45" t="s">
        <v>84</v>
      </c>
      <c r="P8" s="162" t="s">
        <v>17</v>
      </c>
      <c r="Q8" s="162"/>
      <c r="S8" s="160" t="s">
        <v>80</v>
      </c>
      <c r="T8" s="160"/>
      <c r="U8" s="160" t="s">
        <v>82</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83</v>
      </c>
      <c r="V9" s="160"/>
      <c r="W9" s="54"/>
      <c r="X9" s="54"/>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231</v>
      </c>
      <c r="V10" s="160"/>
    </row>
    <row r="11" spans="2:24" ht="24.6" thickBot="1" x14ac:dyDescent="0.35">
      <c r="B11" s="1">
        <v>1</v>
      </c>
      <c r="C11" s="2" t="s">
        <v>188</v>
      </c>
      <c r="D11" s="5">
        <v>200</v>
      </c>
      <c r="E11" s="4">
        <v>15</v>
      </c>
      <c r="F11" s="3">
        <f>D11*(100-E11)/100</f>
        <v>170</v>
      </c>
      <c r="G11" s="4">
        <v>28</v>
      </c>
      <c r="H11" s="3">
        <f>G11*F11/100</f>
        <v>47.6</v>
      </c>
      <c r="I11" s="3">
        <v>100</v>
      </c>
      <c r="J11" s="3">
        <v>100</v>
      </c>
      <c r="K11" s="11"/>
      <c r="L11" s="12"/>
      <c r="M11" s="12"/>
      <c r="N11" s="12"/>
      <c r="O11" s="12"/>
      <c r="P11" s="12"/>
    </row>
    <row r="12" spans="2:24" ht="36.6" thickBot="1" x14ac:dyDescent="0.35">
      <c r="B12" s="5">
        <v>2</v>
      </c>
      <c r="C12" s="6" t="s">
        <v>189</v>
      </c>
      <c r="D12" s="5">
        <v>80</v>
      </c>
      <c r="E12" s="4">
        <v>12</v>
      </c>
      <c r="F12" s="4">
        <f t="shared" ref="F12:F13" si="2">D12*(100-E12)/100</f>
        <v>70.400000000000006</v>
      </c>
      <c r="G12" s="4">
        <v>40</v>
      </c>
      <c r="H12" s="4">
        <f t="shared" ref="H12:H13" si="3">G12*F12/100</f>
        <v>28.16</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40</v>
      </c>
      <c r="E13" s="4">
        <v>18</v>
      </c>
      <c r="F13" s="3">
        <f t="shared" si="2"/>
        <v>32.799999999999997</v>
      </c>
      <c r="G13" s="4">
        <v>22</v>
      </c>
      <c r="H13" s="3">
        <f t="shared" si="3"/>
        <v>7.2159999999999993</v>
      </c>
      <c r="I13" s="3">
        <f>F13/F11*100</f>
        <v>19.294117647058822</v>
      </c>
      <c r="J13" s="3">
        <f>H13/H11*100</f>
        <v>15.159663865546216</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66.8</v>
      </c>
      <c r="G14" s="3">
        <f>H14/F14*100</f>
        <v>18.299401197604794</v>
      </c>
      <c r="H14" s="3">
        <f>H11-H12-H13</f>
        <v>12.224000000000002</v>
      </c>
      <c r="I14" s="3">
        <f>I11-I12-I13</f>
        <v>39.294117647058812</v>
      </c>
      <c r="J14" s="3">
        <f>J11-J12-J13</f>
        <v>25.680672268907564</v>
      </c>
      <c r="K14" s="19">
        <f>180*9+F14</f>
        <v>1686.8</v>
      </c>
      <c r="L14" s="19">
        <f>180*9+F14/1.5</f>
        <v>1664.5333333333333</v>
      </c>
      <c r="M14" s="19">
        <f>K14/9</f>
        <v>187.42222222222222</v>
      </c>
      <c r="N14" s="19">
        <f>L14/9</f>
        <v>184.94814814814814</v>
      </c>
      <c r="O14" s="45" t="s">
        <v>76</v>
      </c>
      <c r="P14" s="162" t="s">
        <v>94</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100</v>
      </c>
      <c r="E18" s="4">
        <v>15</v>
      </c>
      <c r="F18" s="3">
        <f>D18*(100-E18)/100</f>
        <v>85</v>
      </c>
      <c r="G18" s="4">
        <v>22</v>
      </c>
      <c r="H18" s="3">
        <f>G18*F18/100</f>
        <v>18.7</v>
      </c>
      <c r="I18" s="3">
        <v>100</v>
      </c>
      <c r="J18" s="3">
        <v>100</v>
      </c>
      <c r="K18" s="11"/>
      <c r="L18" s="12"/>
      <c r="M18" s="12"/>
      <c r="N18" s="12"/>
      <c r="O18" s="12"/>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20</v>
      </c>
      <c r="E20" s="4">
        <v>18</v>
      </c>
      <c r="F20" s="3">
        <f t="shared" si="4"/>
        <v>16.399999999999999</v>
      </c>
      <c r="G20" s="4">
        <v>18</v>
      </c>
      <c r="H20" s="3">
        <f t="shared" si="5"/>
        <v>2.952</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42.2</v>
      </c>
      <c r="G21" s="3">
        <f>H21/F21*100</f>
        <v>14.796208530805686</v>
      </c>
      <c r="H21" s="3">
        <f>H18-H19-H20</f>
        <v>6.2439999999999998</v>
      </c>
      <c r="I21" s="3">
        <f>I18-I19-I20</f>
        <v>49.647058823529406</v>
      </c>
      <c r="J21" s="3">
        <f>J18-J19-J20</f>
        <v>33.390374331550802</v>
      </c>
      <c r="K21" s="19">
        <f>180*9+F21</f>
        <v>1662.2</v>
      </c>
      <c r="L21" s="19">
        <f>180*9+F21/1.5</f>
        <v>1648.1333333333334</v>
      </c>
      <c r="M21" s="19">
        <f>K21/9</f>
        <v>184.6888888888889</v>
      </c>
      <c r="N21" s="19">
        <f>L21/9</f>
        <v>183.12592592592594</v>
      </c>
      <c r="O21" s="45" t="s">
        <v>56</v>
      </c>
      <c r="P21" s="162" t="s">
        <v>86</v>
      </c>
      <c r="Q21" s="162"/>
    </row>
  </sheetData>
  <mergeCells count="23">
    <mergeCell ref="B2:J2"/>
    <mergeCell ref="B3:J3"/>
    <mergeCell ref="S4:X4"/>
    <mergeCell ref="S5:X5"/>
    <mergeCell ref="K6:Q6"/>
    <mergeCell ref="S6:X6"/>
    <mergeCell ref="S7:X7"/>
    <mergeCell ref="P8:Q8"/>
    <mergeCell ref="S8:T8"/>
    <mergeCell ref="B9:J9"/>
    <mergeCell ref="U8:V8"/>
    <mergeCell ref="S9:T9"/>
    <mergeCell ref="U9:V9"/>
    <mergeCell ref="S12:U12"/>
    <mergeCell ref="V12:X12"/>
    <mergeCell ref="S13:X13"/>
    <mergeCell ref="S10:T10"/>
    <mergeCell ref="U10:V10"/>
    <mergeCell ref="P14:Q14"/>
    <mergeCell ref="B15:J16"/>
    <mergeCell ref="K19:Q19"/>
    <mergeCell ref="P21:Q21"/>
    <mergeCell ref="K12:Q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F8:U10"/>
  <sheetViews>
    <sheetView workbookViewId="0">
      <selection activeCell="L14" sqref="L14"/>
    </sheetView>
  </sheetViews>
  <sheetFormatPr defaultRowHeight="14.4" x14ac:dyDescent="0.3"/>
  <sheetData>
    <row r="8" spans="6:21" x14ac:dyDescent="0.3">
      <c r="F8" s="171" t="s">
        <v>99</v>
      </c>
      <c r="G8" s="171"/>
      <c r="H8" s="171"/>
      <c r="I8" s="171"/>
      <c r="J8" s="171"/>
      <c r="K8" s="171"/>
      <c r="L8" s="171"/>
      <c r="M8" s="171"/>
      <c r="N8" s="171"/>
      <c r="O8" s="171"/>
      <c r="P8" s="171"/>
    </row>
    <row r="9" spans="6:21" x14ac:dyDescent="0.3">
      <c r="F9" s="171" t="s">
        <v>98</v>
      </c>
      <c r="G9" s="171"/>
      <c r="H9" s="171"/>
      <c r="I9" s="171"/>
      <c r="J9" s="171"/>
      <c r="K9" s="171"/>
      <c r="L9" s="171"/>
      <c r="M9" s="171"/>
      <c r="N9" s="171"/>
      <c r="O9" s="171"/>
      <c r="P9" s="171"/>
    </row>
    <row r="10" spans="6:21" x14ac:dyDescent="0.3">
      <c r="K10" s="172" t="s">
        <v>233</v>
      </c>
      <c r="L10" s="172"/>
      <c r="M10" s="172"/>
      <c r="N10" s="172"/>
      <c r="O10" s="172"/>
      <c r="P10" s="172"/>
      <c r="Q10" s="172"/>
      <c r="R10" s="172"/>
      <c r="S10" s="172"/>
      <c r="T10" s="172"/>
      <c r="U10" s="172"/>
    </row>
  </sheetData>
  <mergeCells count="3">
    <mergeCell ref="F8:P8"/>
    <mergeCell ref="F9:P9"/>
    <mergeCell ref="K10:U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X21"/>
  <sheetViews>
    <sheetView topLeftCell="G1" workbookViewId="0">
      <selection activeCell="S10" sqref="S10:T10"/>
    </sheetView>
  </sheetViews>
  <sheetFormatPr defaultColWidth="8.88671875" defaultRowHeight="13.8" x14ac:dyDescent="0.3"/>
  <cols>
    <col min="1" max="1" width="1.88671875" style="36" customWidth="1"/>
    <col min="2" max="2" width="4.109375" style="36" customWidth="1"/>
    <col min="3" max="3" width="14.44140625" style="36" customWidth="1"/>
    <col min="4" max="4" width="10.33203125" style="36" customWidth="1"/>
    <col min="5" max="5" width="6.33203125" style="36" customWidth="1"/>
    <col min="6" max="6" width="10.6640625" style="36" customWidth="1"/>
    <col min="7" max="7" width="8.5546875" style="36" customWidth="1"/>
    <col min="8" max="8" width="9.88671875" style="36" customWidth="1"/>
    <col min="9" max="9" width="10.88671875" style="36" customWidth="1"/>
    <col min="10" max="10" width="11.44140625" style="36" customWidth="1"/>
    <col min="11" max="11" width="15.6640625" style="36" customWidth="1"/>
    <col min="12" max="12" width="16.88671875" style="36" customWidth="1"/>
    <col min="13" max="13" width="11.44140625" style="36" customWidth="1"/>
    <col min="14" max="14" width="14.44140625" style="36" customWidth="1"/>
    <col min="15" max="15" width="16.6640625" style="36" customWidth="1"/>
    <col min="16" max="16" width="11.44140625" style="36" customWidth="1"/>
    <col min="17" max="17" width="7.33203125" style="36" customWidth="1"/>
    <col min="18" max="19" width="8.88671875" style="36"/>
    <col min="20" max="20" width="16.88671875" style="36" customWidth="1"/>
    <col min="21" max="16384" width="8.88671875" style="36"/>
  </cols>
  <sheetData>
    <row r="1" spans="2:24" ht="15.6" customHeight="1" x14ac:dyDescent="0.3"/>
    <row r="2" spans="2:24" ht="20.399999999999999" customHeight="1" x14ac:dyDescent="0.3">
      <c r="B2" s="155"/>
      <c r="C2" s="155"/>
      <c r="D2" s="155"/>
      <c r="E2" s="155"/>
      <c r="F2" s="155"/>
      <c r="G2" s="155"/>
      <c r="H2" s="155"/>
      <c r="I2" s="155"/>
      <c r="J2" s="155"/>
      <c r="K2" s="37"/>
      <c r="L2" s="37"/>
      <c r="M2" s="37"/>
      <c r="N2" s="37"/>
      <c r="O2" s="37"/>
      <c r="P2" s="37"/>
    </row>
    <row r="3" spans="2:24" ht="24.75" customHeight="1" thickBot="1" x14ac:dyDescent="0.35">
      <c r="B3" s="152" t="s">
        <v>234</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25"/>
      <c r="T4" s="25"/>
      <c r="U4" s="25"/>
      <c r="V4" s="25"/>
      <c r="W4" s="25"/>
      <c r="X4" s="25"/>
    </row>
    <row r="5" spans="2:24" ht="25.2" customHeight="1" thickBot="1" x14ac:dyDescent="0.35">
      <c r="B5" s="1">
        <v>1</v>
      </c>
      <c r="C5" s="2" t="s">
        <v>188</v>
      </c>
      <c r="D5" s="5">
        <v>100</v>
      </c>
      <c r="E5" s="4">
        <v>15</v>
      </c>
      <c r="F5" s="3">
        <f>D5*(100-E5)/100</f>
        <v>85</v>
      </c>
      <c r="G5" s="4">
        <v>20</v>
      </c>
      <c r="H5" s="3">
        <f>G5*F5/100</f>
        <v>17</v>
      </c>
      <c r="I5" s="3">
        <v>100</v>
      </c>
      <c r="J5" s="3">
        <v>100</v>
      </c>
      <c r="K5" s="9"/>
      <c r="L5" s="10"/>
      <c r="M5" s="10"/>
      <c r="N5" s="10"/>
      <c r="O5" s="10"/>
      <c r="P5" s="10"/>
      <c r="S5" s="160" t="s">
        <v>229</v>
      </c>
      <c r="T5" s="160"/>
      <c r="U5" s="160"/>
      <c r="V5" s="160"/>
      <c r="W5" s="160"/>
      <c r="X5" s="160"/>
    </row>
    <row r="6" spans="2:24" ht="25.2" customHeight="1" thickBot="1" x14ac:dyDescent="0.35">
      <c r="B6" s="5">
        <v>2</v>
      </c>
      <c r="C6" s="6" t="s">
        <v>189</v>
      </c>
      <c r="D6" s="5">
        <v>20</v>
      </c>
      <c r="E6" s="4">
        <v>12</v>
      </c>
      <c r="F6" s="4">
        <f t="shared" ref="F6:F7" si="0">D6*(100-E6)/100</f>
        <v>17.600000000000001</v>
      </c>
      <c r="G6" s="4">
        <v>37</v>
      </c>
      <c r="H6" s="4">
        <f t="shared" ref="H6:H7" si="1">G6*F6/100</f>
        <v>6.5120000000000005</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40</v>
      </c>
      <c r="E7" s="4">
        <v>18</v>
      </c>
      <c r="F7" s="3">
        <f t="shared" si="0"/>
        <v>32.799999999999997</v>
      </c>
      <c r="G7" s="4">
        <v>18</v>
      </c>
      <c r="H7" s="3">
        <f t="shared" si="1"/>
        <v>5.9039999999999999</v>
      </c>
      <c r="I7" s="3">
        <f>F7/F5*100</f>
        <v>38.588235294117645</v>
      </c>
      <c r="J7" s="3">
        <f>H7/H5*100</f>
        <v>34.72941176470588</v>
      </c>
      <c r="K7" s="17" t="s">
        <v>201</v>
      </c>
      <c r="L7" s="75" t="s">
        <v>202</v>
      </c>
      <c r="M7" s="75" t="s">
        <v>203</v>
      </c>
      <c r="N7" s="75" t="s">
        <v>204</v>
      </c>
      <c r="O7" s="75" t="s">
        <v>205</v>
      </c>
      <c r="P7" s="75" t="s">
        <v>206</v>
      </c>
      <c r="Q7" s="74"/>
      <c r="S7" s="152" t="s">
        <v>79</v>
      </c>
      <c r="T7" s="152"/>
      <c r="U7" s="152"/>
      <c r="V7" s="152"/>
      <c r="W7" s="152"/>
      <c r="X7" s="152"/>
    </row>
    <row r="8" spans="2:24" ht="25.2" customHeight="1" thickBot="1" x14ac:dyDescent="0.35">
      <c r="B8" s="1">
        <v>4</v>
      </c>
      <c r="C8" s="2" t="s">
        <v>190</v>
      </c>
      <c r="D8" s="1"/>
      <c r="E8" s="1"/>
      <c r="F8" s="3">
        <f>F5-F6-F7</f>
        <v>34.600000000000009</v>
      </c>
      <c r="G8" s="3">
        <f>H8/F8*100</f>
        <v>13.248554913294793</v>
      </c>
      <c r="H8" s="3">
        <f>H5-H6-H7</f>
        <v>4.5839999999999996</v>
      </c>
      <c r="I8" s="3">
        <f>I5-I6-I7</f>
        <v>40.705882352941167</v>
      </c>
      <c r="J8" s="3">
        <f>J5-J6-J7</f>
        <v>26.964705882352945</v>
      </c>
      <c r="K8" s="19">
        <f>100*8+F8</f>
        <v>834.6</v>
      </c>
      <c r="L8" s="19">
        <f>100*8+F8/1.5</f>
        <v>823.06666666666672</v>
      </c>
      <c r="M8" s="19">
        <f>K8/8</f>
        <v>104.325</v>
      </c>
      <c r="N8" s="19">
        <f>L8/8</f>
        <v>102.88333333333334</v>
      </c>
      <c r="O8" s="38" t="s">
        <v>16</v>
      </c>
      <c r="P8" s="162" t="s">
        <v>103</v>
      </c>
      <c r="Q8" s="162"/>
      <c r="S8" s="160" t="s">
        <v>80</v>
      </c>
      <c r="T8" s="160"/>
      <c r="U8" s="160" t="s">
        <v>101</v>
      </c>
      <c r="V8" s="160"/>
      <c r="W8" s="25"/>
      <c r="X8" s="25"/>
    </row>
    <row r="9" spans="2:24" ht="25.2" customHeight="1" thickBot="1" x14ac:dyDescent="0.35">
      <c r="B9" s="152" t="s">
        <v>235</v>
      </c>
      <c r="C9" s="152"/>
      <c r="D9" s="152"/>
      <c r="E9" s="152"/>
      <c r="F9" s="152"/>
      <c r="G9" s="152"/>
      <c r="H9" s="152"/>
      <c r="I9" s="152"/>
      <c r="J9" s="152"/>
      <c r="K9" s="8"/>
      <c r="L9" s="8"/>
      <c r="M9" s="8"/>
      <c r="N9" s="8"/>
      <c r="O9" s="13"/>
      <c r="P9" s="8"/>
      <c r="S9" s="160" t="s">
        <v>81</v>
      </c>
      <c r="T9" s="160"/>
      <c r="U9" s="160" t="s">
        <v>102</v>
      </c>
      <c r="V9" s="160"/>
      <c r="W9" s="56"/>
      <c r="X9" s="56"/>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8" t="s">
        <v>230</v>
      </c>
      <c r="T10" s="168"/>
      <c r="U10" s="160" t="s">
        <v>236</v>
      </c>
      <c r="V10" s="160"/>
      <c r="W10" s="57"/>
      <c r="X10" s="57"/>
    </row>
    <row r="11" spans="2:24" ht="24.6" thickBot="1" x14ac:dyDescent="0.35">
      <c r="B11" s="1">
        <v>1</v>
      </c>
      <c r="C11" s="2" t="s">
        <v>188</v>
      </c>
      <c r="D11" s="5">
        <v>100</v>
      </c>
      <c r="E11" s="4">
        <v>15</v>
      </c>
      <c r="F11" s="3">
        <f>D11*(100-E11)/100</f>
        <v>85</v>
      </c>
      <c r="G11" s="4">
        <v>28</v>
      </c>
      <c r="H11" s="3">
        <f>G11*F11/100</f>
        <v>23.8</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40</v>
      </c>
      <c r="H12" s="4">
        <f t="shared" ref="H12:H13" si="3">G12*F12/100</f>
        <v>14.08</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22</v>
      </c>
      <c r="E13" s="4">
        <v>18</v>
      </c>
      <c r="F13" s="3">
        <f t="shared" si="2"/>
        <v>18.04</v>
      </c>
      <c r="G13" s="4">
        <v>22</v>
      </c>
      <c r="H13" s="3">
        <f t="shared" si="3"/>
        <v>3.9687999999999999</v>
      </c>
      <c r="I13" s="3">
        <f>F13/F11*100</f>
        <v>21.223529411764705</v>
      </c>
      <c r="J13" s="3">
        <f>H13/H11*100</f>
        <v>16.675630252100841</v>
      </c>
      <c r="K13" s="17" t="s">
        <v>201</v>
      </c>
      <c r="L13" s="75" t="s">
        <v>202</v>
      </c>
      <c r="M13" s="75" t="s">
        <v>203</v>
      </c>
      <c r="N13" s="75" t="s">
        <v>204</v>
      </c>
      <c r="O13" s="75" t="s">
        <v>205</v>
      </c>
      <c r="P13" s="75" t="s">
        <v>206</v>
      </c>
      <c r="Q13" s="74"/>
      <c r="S13" s="152"/>
      <c r="T13" s="152"/>
      <c r="U13" s="152"/>
      <c r="V13" s="152"/>
      <c r="W13" s="152"/>
      <c r="X13" s="152"/>
    </row>
    <row r="14" spans="2:24" ht="24.6" thickBot="1" x14ac:dyDescent="0.35">
      <c r="B14" s="1">
        <v>4</v>
      </c>
      <c r="C14" s="2" t="s">
        <v>190</v>
      </c>
      <c r="D14" s="1"/>
      <c r="E14" s="1"/>
      <c r="F14" s="3">
        <f>F11-F12-F13</f>
        <v>31.759999999999998</v>
      </c>
      <c r="G14" s="3">
        <f>H14/F14*100</f>
        <v>18.108312342569274</v>
      </c>
      <c r="H14" s="3">
        <f>H11-H12-H13</f>
        <v>5.7512000000000008</v>
      </c>
      <c r="I14" s="3">
        <f>I11-I12-I13</f>
        <v>37.364705882352936</v>
      </c>
      <c r="J14" s="3">
        <f>J11-J12-J13</f>
        <v>24.164705882352937</v>
      </c>
      <c r="K14" s="19">
        <f>100*8+F14</f>
        <v>831.76</v>
      </c>
      <c r="L14" s="19">
        <f>100*8+F14/1.5</f>
        <v>821.17333333333329</v>
      </c>
      <c r="M14" s="19">
        <f>K14/8</f>
        <v>103.97</v>
      </c>
      <c r="N14" s="19">
        <f>L14/8</f>
        <v>102.64666666666666</v>
      </c>
      <c r="O14" s="38" t="s">
        <v>21</v>
      </c>
      <c r="P14" s="162" t="s">
        <v>61</v>
      </c>
      <c r="Q14" s="162"/>
      <c r="S14" s="152"/>
      <c r="T14" s="152"/>
      <c r="U14" s="152"/>
      <c r="V14" s="152"/>
      <c r="W14" s="152"/>
      <c r="X14" s="152"/>
    </row>
    <row r="15" spans="2:24" x14ac:dyDescent="0.3">
      <c r="B15" s="156" t="s">
        <v>197</v>
      </c>
      <c r="C15" s="156"/>
      <c r="D15" s="156"/>
      <c r="E15" s="156"/>
      <c r="F15" s="156"/>
      <c r="G15" s="156"/>
      <c r="H15" s="156"/>
      <c r="I15" s="156"/>
      <c r="J15" s="156"/>
      <c r="S15" s="152"/>
      <c r="T15" s="152"/>
      <c r="U15" s="152"/>
      <c r="V15" s="152"/>
      <c r="W15" s="152"/>
      <c r="X15" s="152"/>
    </row>
    <row r="16" spans="2:24" ht="14.4" thickBot="1" x14ac:dyDescent="0.35">
      <c r="B16" s="157"/>
      <c r="C16" s="157"/>
      <c r="D16" s="157"/>
      <c r="E16" s="157"/>
      <c r="F16" s="157"/>
      <c r="G16" s="157"/>
      <c r="H16" s="157"/>
      <c r="I16" s="157"/>
      <c r="J16" s="157"/>
      <c r="S16" s="152"/>
      <c r="T16" s="152"/>
      <c r="U16" s="152"/>
      <c r="V16" s="152"/>
      <c r="W16" s="152"/>
      <c r="X16" s="152"/>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50</v>
      </c>
      <c r="E18" s="4">
        <v>15</v>
      </c>
      <c r="F18" s="3">
        <f>D18*(100-E18)/100</f>
        <v>42.5</v>
      </c>
      <c r="G18" s="4">
        <v>22</v>
      </c>
      <c r="H18" s="3">
        <f>G18*F18/100</f>
        <v>9.35</v>
      </c>
      <c r="I18" s="3">
        <v>100</v>
      </c>
      <c r="J18" s="3">
        <v>100</v>
      </c>
      <c r="K18" s="11"/>
      <c r="L18" s="12"/>
      <c r="M18" s="12"/>
      <c r="N18" s="12"/>
      <c r="O18" s="12"/>
    </row>
    <row r="19" spans="2:17" ht="36.6" thickBot="1" x14ac:dyDescent="0.35">
      <c r="B19" s="5">
        <v>2</v>
      </c>
      <c r="C19" s="6" t="s">
        <v>189</v>
      </c>
      <c r="D19" s="5">
        <v>14</v>
      </c>
      <c r="E19" s="4">
        <v>12</v>
      </c>
      <c r="F19" s="4">
        <f t="shared" ref="F19:F20" si="4">D19*(100-E19)/100</f>
        <v>12.32</v>
      </c>
      <c r="G19" s="4">
        <v>36</v>
      </c>
      <c r="H19" s="4">
        <f t="shared" ref="H19:H20" si="5">G19*F19/100</f>
        <v>4.4352</v>
      </c>
      <c r="I19" s="4">
        <f>F19/F18*100</f>
        <v>28.988235294117647</v>
      </c>
      <c r="J19" s="4">
        <f>H19/H18*100</f>
        <v>47.435294117647061</v>
      </c>
      <c r="K19" s="153" t="s">
        <v>200</v>
      </c>
      <c r="L19" s="154"/>
      <c r="M19" s="154"/>
      <c r="N19" s="154"/>
      <c r="O19" s="154"/>
      <c r="P19" s="154"/>
      <c r="Q19" s="154"/>
    </row>
    <row r="20" spans="2:17" ht="36.6" thickBot="1" x14ac:dyDescent="0.35">
      <c r="B20" s="1">
        <v>3</v>
      </c>
      <c r="C20" s="2" t="s">
        <v>207</v>
      </c>
      <c r="D20" s="5">
        <v>10</v>
      </c>
      <c r="E20" s="4">
        <v>18</v>
      </c>
      <c r="F20" s="3">
        <f t="shared" si="4"/>
        <v>8.1999999999999993</v>
      </c>
      <c r="G20" s="4">
        <v>18</v>
      </c>
      <c r="H20" s="3">
        <f t="shared" si="5"/>
        <v>1.476</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21.98</v>
      </c>
      <c r="G21" s="3">
        <f>H21/F21*100</f>
        <v>15.645131938125568</v>
      </c>
      <c r="H21" s="3">
        <f>H18-H19-H20</f>
        <v>3.4387999999999996</v>
      </c>
      <c r="I21" s="3">
        <f>I18-I19-I20</f>
        <v>51.71764705882353</v>
      </c>
      <c r="J21" s="3">
        <f>J18-J19-J20</f>
        <v>36.778609625668444</v>
      </c>
      <c r="K21" s="19">
        <f>100*8+F21</f>
        <v>821.98</v>
      </c>
      <c r="L21" s="19">
        <f>100*8+F21/1.5</f>
        <v>814.65333333333331</v>
      </c>
      <c r="M21" s="19">
        <f>K21/8</f>
        <v>102.7475</v>
      </c>
      <c r="N21" s="19">
        <f>L21/8</f>
        <v>101.83166666666666</v>
      </c>
      <c r="O21" s="38" t="s">
        <v>104</v>
      </c>
      <c r="P21" s="162" t="s">
        <v>40</v>
      </c>
      <c r="Q21" s="162"/>
    </row>
  </sheetData>
  <mergeCells count="20">
    <mergeCell ref="S10:T10"/>
    <mergeCell ref="U10:V10"/>
    <mergeCell ref="B2:J2"/>
    <mergeCell ref="B3:J3"/>
    <mergeCell ref="S5:X5"/>
    <mergeCell ref="K6:Q6"/>
    <mergeCell ref="S6:X6"/>
    <mergeCell ref="S7:X7"/>
    <mergeCell ref="P8:Q8"/>
    <mergeCell ref="S8:T8"/>
    <mergeCell ref="B9:J9"/>
    <mergeCell ref="U8:V8"/>
    <mergeCell ref="S9:T9"/>
    <mergeCell ref="U9:V9"/>
    <mergeCell ref="P21:Q21"/>
    <mergeCell ref="K12:Q12"/>
    <mergeCell ref="S12:X16"/>
    <mergeCell ref="P14:Q14"/>
    <mergeCell ref="B15:J16"/>
    <mergeCell ref="K19:Q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A21"/>
  <sheetViews>
    <sheetView workbookViewId="0">
      <selection activeCell="S9" sqref="S9:X13"/>
    </sheetView>
  </sheetViews>
  <sheetFormatPr defaultColWidth="8.88671875" defaultRowHeight="13.8" x14ac:dyDescent="0.3"/>
  <cols>
    <col min="1" max="1" width="1.88671875" style="36" customWidth="1"/>
    <col min="2" max="2" width="4.109375" style="36" customWidth="1"/>
    <col min="3" max="3" width="14.44140625" style="36" customWidth="1"/>
    <col min="4" max="4" width="10.33203125" style="36" customWidth="1"/>
    <col min="5" max="5" width="6.33203125" style="36" customWidth="1"/>
    <col min="6" max="6" width="10.6640625" style="36" customWidth="1"/>
    <col min="7" max="7" width="8.5546875" style="36" customWidth="1"/>
    <col min="8" max="8" width="9.88671875" style="36" customWidth="1"/>
    <col min="9" max="9" width="10.88671875" style="36" customWidth="1"/>
    <col min="10" max="10" width="11.44140625" style="36" customWidth="1"/>
    <col min="11" max="11" width="15.6640625" style="36" customWidth="1"/>
    <col min="12" max="12" width="16.88671875" style="36" customWidth="1"/>
    <col min="13" max="13" width="11.44140625" style="36" customWidth="1"/>
    <col min="14" max="14" width="14.44140625" style="36" customWidth="1"/>
    <col min="15" max="15" width="16.6640625" style="36" customWidth="1"/>
    <col min="16" max="16" width="11.44140625" style="36" customWidth="1"/>
    <col min="17" max="17" width="7.33203125" style="36" customWidth="1"/>
    <col min="18" max="16384" width="8.88671875" style="36"/>
  </cols>
  <sheetData>
    <row r="1" spans="2:27" ht="15.6" customHeight="1" x14ac:dyDescent="0.3"/>
    <row r="2" spans="2:27" ht="20.399999999999999" customHeight="1" x14ac:dyDescent="0.3">
      <c r="B2" s="155"/>
      <c r="C2" s="155"/>
      <c r="D2" s="155"/>
      <c r="E2" s="155"/>
      <c r="F2" s="155"/>
      <c r="G2" s="155"/>
      <c r="H2" s="155"/>
      <c r="I2" s="155"/>
      <c r="J2" s="155"/>
      <c r="K2" s="37"/>
      <c r="L2" s="37"/>
      <c r="M2" s="37"/>
      <c r="N2" s="37"/>
      <c r="O2" s="37"/>
      <c r="P2" s="37"/>
    </row>
    <row r="3" spans="2:27" ht="24.75" customHeight="1" thickBot="1" x14ac:dyDescent="0.35">
      <c r="B3" s="152" t="s">
        <v>235</v>
      </c>
      <c r="C3" s="152"/>
      <c r="D3" s="152"/>
      <c r="E3" s="152"/>
      <c r="F3" s="152"/>
      <c r="G3" s="152"/>
      <c r="H3" s="152"/>
      <c r="I3" s="152"/>
      <c r="J3" s="152"/>
    </row>
    <row r="4" spans="2:27"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7" ht="25.2" customHeight="1" thickBot="1" x14ac:dyDescent="0.35">
      <c r="B5" s="1">
        <v>1</v>
      </c>
      <c r="C5" s="2" t="s">
        <v>188</v>
      </c>
      <c r="D5" s="5">
        <v>400</v>
      </c>
      <c r="E5" s="4">
        <v>15</v>
      </c>
      <c r="F5" s="3">
        <f>D5*(100-E5)/100</f>
        <v>340</v>
      </c>
      <c r="G5" s="4">
        <v>20</v>
      </c>
      <c r="H5" s="3">
        <f>G5*F5/100</f>
        <v>68</v>
      </c>
      <c r="I5" s="3">
        <v>100</v>
      </c>
      <c r="J5" s="3">
        <v>100</v>
      </c>
      <c r="K5" s="9"/>
      <c r="L5" s="10"/>
      <c r="M5" s="10"/>
      <c r="N5" s="10"/>
      <c r="O5" s="10"/>
      <c r="P5" s="10"/>
      <c r="S5" s="164" t="s">
        <v>238</v>
      </c>
      <c r="T5" s="164"/>
      <c r="U5" s="164"/>
      <c r="V5" s="164"/>
      <c r="W5" s="164"/>
      <c r="X5" s="164"/>
    </row>
    <row r="6" spans="2:27" ht="25.2" customHeight="1" thickBot="1" x14ac:dyDescent="0.35">
      <c r="B6" s="5">
        <v>2</v>
      </c>
      <c r="C6" s="6" t="s">
        <v>189</v>
      </c>
      <c r="D6" s="5">
        <v>80</v>
      </c>
      <c r="E6" s="4">
        <v>12</v>
      </c>
      <c r="F6" s="4">
        <f t="shared" ref="F6:F7" si="0">D6*(100-E6)/100</f>
        <v>70.400000000000006</v>
      </c>
      <c r="G6" s="4">
        <v>37</v>
      </c>
      <c r="H6" s="4">
        <f t="shared" ref="H6:H7" si="1">G6*F6/100</f>
        <v>26.048000000000002</v>
      </c>
      <c r="I6" s="4">
        <f>F6/F5*100</f>
        <v>20.705882352941181</v>
      </c>
      <c r="J6" s="4">
        <f>H6/H5*100</f>
        <v>38.305882352941175</v>
      </c>
      <c r="K6" s="153" t="s">
        <v>200</v>
      </c>
      <c r="L6" s="154"/>
      <c r="M6" s="154"/>
      <c r="N6" s="154"/>
      <c r="O6" s="154"/>
      <c r="P6" s="154"/>
      <c r="Q6" s="154"/>
      <c r="S6" s="170" t="s">
        <v>63</v>
      </c>
      <c r="T6" s="170"/>
      <c r="U6" s="170"/>
      <c r="V6" s="170"/>
      <c r="W6" s="170"/>
      <c r="X6" s="170"/>
    </row>
    <row r="7" spans="2:27" ht="25.2" customHeight="1" thickBot="1" x14ac:dyDescent="0.35">
      <c r="B7" s="1">
        <v>3</v>
      </c>
      <c r="C7" s="2" t="s">
        <v>207</v>
      </c>
      <c r="D7" s="5">
        <v>160</v>
      </c>
      <c r="E7" s="4">
        <v>18</v>
      </c>
      <c r="F7" s="3">
        <f t="shared" si="0"/>
        <v>131.19999999999999</v>
      </c>
      <c r="G7" s="4">
        <v>18</v>
      </c>
      <c r="H7" s="3">
        <f t="shared" si="1"/>
        <v>23.616</v>
      </c>
      <c r="I7" s="3">
        <f>F7/F5*100</f>
        <v>38.588235294117645</v>
      </c>
      <c r="J7" s="3">
        <f>H7/H5*100</f>
        <v>34.72941176470588</v>
      </c>
      <c r="K7" s="17" t="s">
        <v>201</v>
      </c>
      <c r="L7" s="75" t="s">
        <v>202</v>
      </c>
      <c r="M7" s="75" t="s">
        <v>203</v>
      </c>
      <c r="N7" s="75" t="s">
        <v>204</v>
      </c>
      <c r="O7" s="75" t="s">
        <v>205</v>
      </c>
      <c r="P7" s="75" t="s">
        <v>206</v>
      </c>
      <c r="Q7" s="74"/>
      <c r="S7" s="169"/>
      <c r="T7" s="169"/>
      <c r="U7" s="169"/>
      <c r="V7" s="169"/>
      <c r="W7" s="169"/>
      <c r="X7" s="169"/>
    </row>
    <row r="8" spans="2:27" ht="25.2" customHeight="1" thickBot="1" x14ac:dyDescent="0.35">
      <c r="B8" s="1">
        <v>4</v>
      </c>
      <c r="C8" s="2" t="s">
        <v>190</v>
      </c>
      <c r="D8" s="1"/>
      <c r="E8" s="1"/>
      <c r="F8" s="3">
        <f>F5-F6-F7</f>
        <v>138.40000000000003</v>
      </c>
      <c r="G8" s="3">
        <f>H8/F8*100</f>
        <v>13.248554913294793</v>
      </c>
      <c r="H8" s="3">
        <f>H5-H6-H7</f>
        <v>18.335999999999999</v>
      </c>
      <c r="I8" s="3">
        <f>I5-I6-I7</f>
        <v>40.705882352941167</v>
      </c>
      <c r="J8" s="3">
        <f>J5-J6-J7</f>
        <v>26.964705882352945</v>
      </c>
      <c r="K8" s="19"/>
      <c r="L8" s="19"/>
      <c r="M8" s="19"/>
      <c r="N8" s="19"/>
      <c r="O8" s="38"/>
      <c r="P8" s="162"/>
      <c r="Q8" s="162"/>
      <c r="S8" s="164">
        <v>125</v>
      </c>
      <c r="T8" s="164"/>
      <c r="U8" s="42"/>
      <c r="V8" s="42"/>
      <c r="W8" s="42"/>
      <c r="X8" s="42"/>
    </row>
    <row r="9" spans="2:27" ht="25.2" customHeight="1" thickBot="1" x14ac:dyDescent="0.35">
      <c r="B9" s="158" t="s">
        <v>196</v>
      </c>
      <c r="C9" s="158"/>
      <c r="D9" s="158"/>
      <c r="E9" s="158"/>
      <c r="F9" s="158"/>
      <c r="G9" s="158"/>
      <c r="H9" s="158"/>
      <c r="I9" s="158"/>
      <c r="J9" s="158"/>
      <c r="K9" s="8"/>
      <c r="L9" s="8"/>
      <c r="M9" s="8"/>
      <c r="N9" s="8"/>
      <c r="O9" s="13"/>
      <c r="P9" s="8" t="s">
        <v>52</v>
      </c>
      <c r="S9" s="163" t="s">
        <v>100</v>
      </c>
      <c r="T9" s="163"/>
      <c r="U9" s="163"/>
      <c r="V9" s="163"/>
      <c r="W9" s="163"/>
      <c r="X9" s="163"/>
    </row>
    <row r="10" spans="2:27"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3"/>
      <c r="T10" s="163"/>
      <c r="U10" s="163"/>
      <c r="V10" s="163"/>
      <c r="W10" s="163"/>
      <c r="X10" s="163"/>
    </row>
    <row r="11" spans="2:27" ht="24.6" thickBot="1" x14ac:dyDescent="0.35">
      <c r="B11" s="1">
        <v>1</v>
      </c>
      <c r="C11" s="2" t="s">
        <v>188</v>
      </c>
      <c r="D11" s="5">
        <v>400</v>
      </c>
      <c r="E11" s="4">
        <v>15</v>
      </c>
      <c r="F11" s="3">
        <f>D11*(100-E11)/100</f>
        <v>340</v>
      </c>
      <c r="G11" s="4">
        <v>28</v>
      </c>
      <c r="H11" s="3">
        <f>G11*F11/100</f>
        <v>95.2</v>
      </c>
      <c r="I11" s="3">
        <v>100</v>
      </c>
      <c r="J11" s="3">
        <v>100</v>
      </c>
      <c r="K11" s="11"/>
      <c r="L11" s="12"/>
      <c r="M11" s="12"/>
      <c r="N11" s="12"/>
      <c r="O11" s="12"/>
      <c r="P11" s="12"/>
      <c r="S11" s="163"/>
      <c r="T11" s="163"/>
      <c r="U11" s="163"/>
      <c r="V11" s="163"/>
      <c r="W11" s="163"/>
      <c r="X11" s="163"/>
    </row>
    <row r="12" spans="2:27" ht="36.6" thickBot="1" x14ac:dyDescent="0.35">
      <c r="B12" s="5">
        <v>2</v>
      </c>
      <c r="C12" s="6" t="s">
        <v>189</v>
      </c>
      <c r="D12" s="5">
        <v>160</v>
      </c>
      <c r="E12" s="4">
        <v>12</v>
      </c>
      <c r="F12" s="4">
        <f t="shared" ref="F12:F13" si="2">D12*(100-E12)/100</f>
        <v>140.80000000000001</v>
      </c>
      <c r="G12" s="4">
        <v>40</v>
      </c>
      <c r="H12" s="4">
        <f t="shared" ref="H12:H13" si="3">G12*F12/100</f>
        <v>56.32</v>
      </c>
      <c r="I12" s="4">
        <f>F12/F11*100</f>
        <v>41.411764705882362</v>
      </c>
      <c r="J12" s="4">
        <f>H12/H11*100</f>
        <v>59.159663865546221</v>
      </c>
      <c r="K12" s="153" t="s">
        <v>200</v>
      </c>
      <c r="L12" s="154"/>
      <c r="M12" s="154"/>
      <c r="N12" s="154"/>
      <c r="O12" s="154"/>
      <c r="P12" s="154"/>
      <c r="Q12" s="154"/>
      <c r="S12" s="163"/>
      <c r="T12" s="163"/>
      <c r="U12" s="163"/>
      <c r="V12" s="163"/>
      <c r="W12" s="163"/>
      <c r="X12" s="163"/>
    </row>
    <row r="13" spans="2:27" ht="36.6" thickBot="1" x14ac:dyDescent="0.35">
      <c r="B13" s="1">
        <v>3</v>
      </c>
      <c r="C13" s="2" t="s">
        <v>207</v>
      </c>
      <c r="D13" s="5">
        <v>90</v>
      </c>
      <c r="E13" s="4">
        <v>18</v>
      </c>
      <c r="F13" s="3">
        <f t="shared" si="2"/>
        <v>73.8</v>
      </c>
      <c r="G13" s="4">
        <v>22</v>
      </c>
      <c r="H13" s="3">
        <f t="shared" si="3"/>
        <v>16.236000000000001</v>
      </c>
      <c r="I13" s="3">
        <f>F13/F11*100</f>
        <v>21.705882352941174</v>
      </c>
      <c r="J13" s="3">
        <f>H13/H11*100</f>
        <v>17.054621848739497</v>
      </c>
      <c r="K13" s="17" t="s">
        <v>201</v>
      </c>
      <c r="L13" s="75" t="s">
        <v>202</v>
      </c>
      <c r="M13" s="75" t="s">
        <v>203</v>
      </c>
      <c r="N13" s="75" t="s">
        <v>204</v>
      </c>
      <c r="O13" s="75" t="s">
        <v>205</v>
      </c>
      <c r="P13" s="75" t="s">
        <v>206</v>
      </c>
      <c r="Q13" s="74"/>
      <c r="S13" s="163"/>
      <c r="T13" s="163"/>
      <c r="U13" s="163"/>
      <c r="V13" s="163"/>
      <c r="W13" s="163"/>
      <c r="X13" s="163"/>
    </row>
    <row r="14" spans="2:27" ht="24.6" thickBot="1" x14ac:dyDescent="0.35">
      <c r="B14" s="1">
        <v>4</v>
      </c>
      <c r="C14" s="2" t="s">
        <v>190</v>
      </c>
      <c r="D14" s="1"/>
      <c r="E14" s="1"/>
      <c r="F14" s="3">
        <f>F11-F12-F13</f>
        <v>125.39999999999999</v>
      </c>
      <c r="G14" s="3">
        <f>H14/F14*100</f>
        <v>18.057416267942585</v>
      </c>
      <c r="H14" s="3">
        <f>H11-H12-H13</f>
        <v>22.644000000000002</v>
      </c>
      <c r="I14" s="3">
        <f>I11-I12-I13</f>
        <v>36.882352941176464</v>
      </c>
      <c r="J14" s="3">
        <f>J11-J12-J13</f>
        <v>23.785714285714281</v>
      </c>
      <c r="K14" s="19"/>
      <c r="L14" s="19"/>
      <c r="M14" s="19"/>
      <c r="N14" s="19"/>
      <c r="O14" s="38"/>
      <c r="P14" s="162"/>
      <c r="Q14" s="162"/>
      <c r="S14" s="25" t="s">
        <v>237</v>
      </c>
      <c r="T14" s="25"/>
      <c r="U14" s="25"/>
      <c r="V14" s="163"/>
      <c r="W14" s="163"/>
      <c r="X14" s="163"/>
      <c r="Y14" s="163"/>
      <c r="Z14" s="163"/>
      <c r="AA14" s="163"/>
    </row>
    <row r="15" spans="2:27" x14ac:dyDescent="0.3">
      <c r="B15" s="156" t="s">
        <v>197</v>
      </c>
      <c r="C15" s="156"/>
      <c r="D15" s="156"/>
      <c r="E15" s="156"/>
      <c r="F15" s="156"/>
      <c r="G15" s="156"/>
      <c r="H15" s="156"/>
      <c r="I15" s="156"/>
      <c r="J15" s="156"/>
      <c r="S15" s="25"/>
      <c r="T15" s="25"/>
      <c r="U15" s="25"/>
      <c r="V15" s="163"/>
      <c r="W15" s="163"/>
      <c r="X15" s="163"/>
      <c r="Y15" s="163"/>
      <c r="Z15" s="163"/>
      <c r="AA15" s="163"/>
    </row>
    <row r="16" spans="2:27" ht="14.4" thickBot="1" x14ac:dyDescent="0.35">
      <c r="B16" s="157"/>
      <c r="C16" s="157"/>
      <c r="D16" s="157"/>
      <c r="E16" s="157"/>
      <c r="F16" s="157"/>
      <c r="G16" s="157"/>
      <c r="H16" s="157"/>
      <c r="I16" s="157"/>
      <c r="J16" s="157"/>
      <c r="S16" s="25"/>
      <c r="T16" s="25"/>
      <c r="U16" s="25"/>
      <c r="V16" s="163"/>
      <c r="W16" s="163"/>
      <c r="X16" s="163"/>
      <c r="Y16" s="163"/>
      <c r="Z16" s="163"/>
      <c r="AA16" s="163"/>
    </row>
    <row r="17" spans="2:27" ht="48.6" thickBot="1" x14ac:dyDescent="0.35">
      <c r="B17" s="1" t="s">
        <v>0</v>
      </c>
      <c r="C17" s="2" t="s">
        <v>187</v>
      </c>
      <c r="D17" s="2" t="s">
        <v>191</v>
      </c>
      <c r="E17" s="2" t="s">
        <v>2</v>
      </c>
      <c r="F17" s="2" t="s">
        <v>192</v>
      </c>
      <c r="G17" s="2" t="s">
        <v>1</v>
      </c>
      <c r="H17" s="2" t="s">
        <v>193</v>
      </c>
      <c r="I17" s="2" t="s">
        <v>194</v>
      </c>
      <c r="J17" s="2" t="s">
        <v>195</v>
      </c>
      <c r="K17" s="11"/>
      <c r="L17" s="12"/>
      <c r="M17" s="12"/>
      <c r="N17" s="12"/>
      <c r="O17" s="12"/>
      <c r="V17" s="163"/>
      <c r="W17" s="163"/>
      <c r="X17" s="163"/>
      <c r="Y17" s="163"/>
      <c r="Z17" s="163"/>
      <c r="AA17" s="163"/>
    </row>
    <row r="18" spans="2:27" ht="24.6" thickBot="1" x14ac:dyDescent="0.35">
      <c r="B18" s="1">
        <v>1</v>
      </c>
      <c r="C18" s="2" t="s">
        <v>188</v>
      </c>
      <c r="D18" s="5">
        <v>150</v>
      </c>
      <c r="E18" s="4">
        <v>15</v>
      </c>
      <c r="F18" s="3">
        <f>D18*(100-E18)/100</f>
        <v>127.5</v>
      </c>
      <c r="G18" s="4">
        <v>22</v>
      </c>
      <c r="H18" s="3">
        <f>G18*F18/100</f>
        <v>28.05</v>
      </c>
      <c r="I18" s="3">
        <v>100</v>
      </c>
      <c r="J18" s="3">
        <v>100</v>
      </c>
      <c r="K18" s="11"/>
      <c r="L18" s="12"/>
      <c r="M18" s="12"/>
      <c r="N18" s="12"/>
      <c r="O18" s="12"/>
      <c r="V18" s="163"/>
      <c r="W18" s="163"/>
      <c r="X18" s="163"/>
      <c r="Y18" s="163"/>
      <c r="Z18" s="163"/>
      <c r="AA18" s="163"/>
    </row>
    <row r="19" spans="2:27" ht="36.6" thickBot="1" x14ac:dyDescent="0.35">
      <c r="B19" s="5">
        <v>2</v>
      </c>
      <c r="C19" s="6" t="s">
        <v>189</v>
      </c>
      <c r="D19" s="5">
        <v>44</v>
      </c>
      <c r="E19" s="4">
        <v>12</v>
      </c>
      <c r="F19" s="4">
        <f t="shared" ref="F19:F20" si="4">D19*(100-E19)/100</f>
        <v>38.72</v>
      </c>
      <c r="G19" s="4">
        <v>36</v>
      </c>
      <c r="H19" s="4">
        <f t="shared" ref="H19:H20" si="5">G19*F19/100</f>
        <v>13.939200000000001</v>
      </c>
      <c r="I19" s="4">
        <f>F19/F18*100</f>
        <v>30.368627450980391</v>
      </c>
      <c r="J19" s="4">
        <f>H19/H18*100</f>
        <v>49.694117647058825</v>
      </c>
      <c r="K19" s="153" t="s">
        <v>200</v>
      </c>
      <c r="L19" s="154"/>
      <c r="M19" s="154"/>
      <c r="N19" s="154"/>
      <c r="O19" s="154"/>
      <c r="P19" s="154"/>
      <c r="Q19" s="154"/>
    </row>
    <row r="20" spans="2:27" ht="36.6" thickBot="1" x14ac:dyDescent="0.35">
      <c r="B20" s="1">
        <v>3</v>
      </c>
      <c r="C20" s="2" t="s">
        <v>207</v>
      </c>
      <c r="D20" s="5">
        <v>30</v>
      </c>
      <c r="E20" s="4">
        <v>18</v>
      </c>
      <c r="F20" s="3">
        <f t="shared" si="4"/>
        <v>24.6</v>
      </c>
      <c r="G20" s="4">
        <v>18</v>
      </c>
      <c r="H20" s="3">
        <f t="shared" si="5"/>
        <v>4.4279999999999999</v>
      </c>
      <c r="I20" s="3">
        <f>F20/F18*100</f>
        <v>19.294117647058826</v>
      </c>
      <c r="J20" s="3">
        <f>H20/H18*100</f>
        <v>15.786096256684493</v>
      </c>
      <c r="K20" s="17" t="s">
        <v>201</v>
      </c>
      <c r="L20" s="75" t="s">
        <v>202</v>
      </c>
      <c r="M20" s="75" t="s">
        <v>203</v>
      </c>
      <c r="N20" s="75" t="s">
        <v>204</v>
      </c>
      <c r="O20" s="75" t="s">
        <v>205</v>
      </c>
      <c r="P20" s="75" t="s">
        <v>206</v>
      </c>
      <c r="Q20" s="74"/>
    </row>
    <row r="21" spans="2:27" ht="24.6" thickBot="1" x14ac:dyDescent="0.35">
      <c r="B21" s="1">
        <v>4</v>
      </c>
      <c r="C21" s="2" t="s">
        <v>190</v>
      </c>
      <c r="D21" s="1"/>
      <c r="E21" s="1"/>
      <c r="F21" s="3">
        <f>F18-F19-F20</f>
        <v>64.180000000000007</v>
      </c>
      <c r="G21" s="3">
        <f>H21/F21*100</f>
        <v>15.08694297288875</v>
      </c>
      <c r="H21" s="3">
        <f>H18-H19-H20</f>
        <v>9.6828000000000003</v>
      </c>
      <c r="I21" s="3">
        <f>I18-I19-I20</f>
        <v>50.337254901960776</v>
      </c>
      <c r="J21" s="3">
        <f>J18-J19-J20</f>
        <v>34.519786096256681</v>
      </c>
      <c r="K21" s="19"/>
      <c r="L21" s="19"/>
      <c r="M21" s="19"/>
      <c r="N21" s="19"/>
      <c r="O21" s="38"/>
      <c r="P21" s="162"/>
      <c r="Q21" s="162"/>
    </row>
  </sheetData>
  <mergeCells count="17">
    <mergeCell ref="V14:AA18"/>
    <mergeCell ref="B2:J2"/>
    <mergeCell ref="B3:J3"/>
    <mergeCell ref="S4:X4"/>
    <mergeCell ref="S5:X5"/>
    <mergeCell ref="K6:Q6"/>
    <mergeCell ref="S6:X6"/>
    <mergeCell ref="S7:X7"/>
    <mergeCell ref="P8:Q8"/>
    <mergeCell ref="S8:T8"/>
    <mergeCell ref="B9:J9"/>
    <mergeCell ref="S9:X13"/>
    <mergeCell ref="P21:Q21"/>
    <mergeCell ref="K12:Q12"/>
    <mergeCell ref="P14:Q14"/>
    <mergeCell ref="B15:J16"/>
    <mergeCell ref="K19:Q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30"/>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109375" style="15" customWidth="1"/>
    <col min="12" max="12" width="15.6640625" style="15" customWidth="1"/>
    <col min="13" max="13" width="11.109375" style="15" customWidth="1"/>
    <col min="14" max="14" width="14.5546875" style="15" customWidth="1"/>
    <col min="15" max="15" width="16.5546875" style="15" customWidth="1"/>
    <col min="16" max="16" width="19.33203125" style="15" customWidth="1"/>
    <col min="17" max="17" width="4.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28</v>
      </c>
      <c r="H5" s="3">
        <f>G5*F5/100</f>
        <v>71.400000000000006</v>
      </c>
      <c r="I5" s="3">
        <v>100</v>
      </c>
      <c r="J5" s="3">
        <v>100</v>
      </c>
      <c r="K5" s="9"/>
      <c r="L5" s="10"/>
      <c r="M5" s="10"/>
      <c r="N5" s="10"/>
      <c r="O5" s="10"/>
      <c r="P5" s="10"/>
      <c r="S5" s="160" t="s">
        <v>209</v>
      </c>
      <c r="T5" s="160"/>
      <c r="U5" s="160"/>
      <c r="V5" s="160"/>
      <c r="W5" s="160"/>
      <c r="X5" s="160"/>
    </row>
    <row r="6" spans="2:24" ht="25.2" customHeight="1" thickBot="1" x14ac:dyDescent="0.35">
      <c r="B6" s="5">
        <v>2</v>
      </c>
      <c r="C6" s="6" t="s">
        <v>189</v>
      </c>
      <c r="D6" s="5">
        <v>132</v>
      </c>
      <c r="E6" s="4">
        <v>12</v>
      </c>
      <c r="F6" s="4">
        <f t="shared" ref="F6:F7" si="0">D6*(100-E6)/100</f>
        <v>116.16</v>
      </c>
      <c r="G6" s="4">
        <v>42</v>
      </c>
      <c r="H6" s="4">
        <f t="shared" ref="H6:H7" si="1">G6*F6/100</f>
        <v>48.787200000000006</v>
      </c>
      <c r="I6" s="4">
        <f>F6/F5*100</f>
        <v>45.552941176470583</v>
      </c>
      <c r="J6" s="4">
        <f>H6/H5*100</f>
        <v>68.329411764705881</v>
      </c>
      <c r="K6" s="153" t="s">
        <v>200</v>
      </c>
      <c r="L6" s="154"/>
      <c r="M6" s="154"/>
      <c r="N6" s="154"/>
      <c r="O6" s="154"/>
      <c r="P6" s="154"/>
      <c r="Q6" s="154"/>
      <c r="S6" s="160" t="s">
        <v>210</v>
      </c>
      <c r="T6" s="160"/>
      <c r="U6" s="160"/>
      <c r="V6" s="160"/>
      <c r="W6" s="160"/>
      <c r="X6" s="160"/>
    </row>
    <row r="7" spans="2:24" ht="25.2" customHeight="1" thickBot="1" x14ac:dyDescent="0.35">
      <c r="B7" s="1">
        <v>3</v>
      </c>
      <c r="C7" s="2" t="s">
        <v>207</v>
      </c>
      <c r="D7" s="5">
        <v>80</v>
      </c>
      <c r="E7" s="4">
        <v>18</v>
      </c>
      <c r="F7" s="3">
        <f t="shared" si="0"/>
        <v>65.599999999999994</v>
      </c>
      <c r="G7" s="4">
        <v>20</v>
      </c>
      <c r="H7" s="3">
        <f t="shared" si="1"/>
        <v>13.12</v>
      </c>
      <c r="I7" s="3">
        <f>F7/F5*100</f>
        <v>25.725490196078425</v>
      </c>
      <c r="J7" s="3">
        <f>H7/H5*100</f>
        <v>18.375350140056021</v>
      </c>
      <c r="K7" s="17" t="s">
        <v>201</v>
      </c>
      <c r="L7" s="75" t="s">
        <v>202</v>
      </c>
      <c r="M7" s="75" t="s">
        <v>203</v>
      </c>
      <c r="N7" s="75" t="s">
        <v>204</v>
      </c>
      <c r="O7" s="75" t="s">
        <v>205</v>
      </c>
      <c r="P7" s="75" t="s">
        <v>206</v>
      </c>
      <c r="Q7" s="74"/>
      <c r="S7" s="159" t="s">
        <v>211</v>
      </c>
      <c r="T7" s="159"/>
      <c r="U7" s="159"/>
      <c r="V7" s="159"/>
      <c r="W7" s="159"/>
      <c r="X7" s="159"/>
    </row>
    <row r="8" spans="2:24" ht="25.2" customHeight="1" thickBot="1" x14ac:dyDescent="0.35">
      <c r="B8" s="1">
        <v>4</v>
      </c>
      <c r="C8" s="2" t="s">
        <v>190</v>
      </c>
      <c r="D8" s="1"/>
      <c r="E8" s="1"/>
      <c r="F8" s="3">
        <f>F5-F6-F7</f>
        <v>73.240000000000009</v>
      </c>
      <c r="G8" s="3">
        <f>H8/F8*100</f>
        <v>12.961223375204806</v>
      </c>
      <c r="H8" s="3">
        <f>H5-H6-H7</f>
        <v>9.4928000000000008</v>
      </c>
      <c r="I8" s="3">
        <f>I5-I6-I7</f>
        <v>28.721568627450992</v>
      </c>
      <c r="J8" s="3">
        <f>J5-J6-J7</f>
        <v>13.295238095238098</v>
      </c>
      <c r="K8" s="19">
        <f>F8+1710</f>
        <v>1783.24</v>
      </c>
      <c r="L8" s="19">
        <f>F8/1.5+1710</f>
        <v>1758.8266666666666</v>
      </c>
      <c r="M8" s="19">
        <f>K8/10</f>
        <v>178.32400000000001</v>
      </c>
      <c r="N8" s="19">
        <f>L8/10</f>
        <v>175.88266666666667</v>
      </c>
      <c r="O8" s="22" t="s">
        <v>16</v>
      </c>
      <c r="P8" s="22" t="s">
        <v>17</v>
      </c>
      <c r="S8" s="152" t="s">
        <v>15</v>
      </c>
      <c r="T8" s="152"/>
      <c r="U8" s="152"/>
      <c r="V8" s="152"/>
      <c r="W8" s="152"/>
      <c r="X8" s="152"/>
    </row>
    <row r="9" spans="2:24" ht="25.2" customHeight="1" thickBot="1" x14ac:dyDescent="0.35">
      <c r="B9" s="158" t="s">
        <v>196</v>
      </c>
      <c r="C9" s="158"/>
      <c r="D9" s="158"/>
      <c r="E9" s="158"/>
      <c r="F9" s="158"/>
      <c r="G9" s="158"/>
      <c r="H9" s="158"/>
      <c r="I9" s="158"/>
      <c r="J9" s="158"/>
      <c r="K9" s="8"/>
      <c r="L9" s="8"/>
      <c r="M9" s="8"/>
      <c r="N9" s="8"/>
      <c r="O9" s="13"/>
      <c r="P9" s="8"/>
      <c r="S9" s="160">
        <f>(100+80)*0.95</f>
        <v>171</v>
      </c>
      <c r="T9" s="160"/>
      <c r="U9" s="26"/>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90</v>
      </c>
      <c r="E13" s="4">
        <v>18</v>
      </c>
      <c r="F13" s="3">
        <f t="shared" si="2"/>
        <v>73.8</v>
      </c>
      <c r="G13" s="4">
        <v>15</v>
      </c>
      <c r="H13" s="3">
        <f t="shared" si="3"/>
        <v>11.07</v>
      </c>
      <c r="I13" s="3">
        <f>F13/F11*100</f>
        <v>43.411764705882348</v>
      </c>
      <c r="J13" s="3">
        <f>H13/H11*100</f>
        <v>36.17647058823529</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61.000000000000014</v>
      </c>
      <c r="G14" s="3">
        <f>H14/F14*100</f>
        <v>11.242622950819671</v>
      </c>
      <c r="H14" s="3">
        <f>H11-H12-H13</f>
        <v>6.8580000000000005</v>
      </c>
      <c r="I14" s="3">
        <f>I11-I12-I13</f>
        <v>35.882352941176464</v>
      </c>
      <c r="J14" s="3">
        <f>J11-J12-J13</f>
        <v>22.411764705882355</v>
      </c>
      <c r="K14" s="19">
        <f>F14+1710</f>
        <v>1771</v>
      </c>
      <c r="L14" s="19">
        <f>F14/1.5+1710</f>
        <v>1750.6666666666667</v>
      </c>
      <c r="M14" s="19">
        <f>K14/10</f>
        <v>177.1</v>
      </c>
      <c r="N14" s="19">
        <f>L14/10</f>
        <v>175.06666666666666</v>
      </c>
      <c r="O14" s="22" t="s">
        <v>6</v>
      </c>
      <c r="P14" s="22" t="s">
        <v>7</v>
      </c>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100</v>
      </c>
      <c r="E18" s="4">
        <v>15</v>
      </c>
      <c r="F18" s="3">
        <f>D18*(100-E18)/100</f>
        <v>85</v>
      </c>
      <c r="G18" s="4">
        <v>22</v>
      </c>
      <c r="H18" s="3">
        <f>G18*F18/100</f>
        <v>18.7</v>
      </c>
      <c r="I18" s="3">
        <v>100</v>
      </c>
      <c r="J18" s="3">
        <v>100</v>
      </c>
      <c r="K18" s="11"/>
      <c r="L18" s="12"/>
      <c r="M18" s="12"/>
      <c r="N18" s="12"/>
      <c r="O18" s="12"/>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20</v>
      </c>
      <c r="E20" s="4">
        <v>18</v>
      </c>
      <c r="F20" s="3">
        <f t="shared" si="4"/>
        <v>16.399999999999999</v>
      </c>
      <c r="G20" s="4">
        <v>18</v>
      </c>
      <c r="H20" s="3">
        <f t="shared" si="5"/>
        <v>2.952</v>
      </c>
      <c r="I20" s="3">
        <f>F20/F18*100</f>
        <v>19.294117647058822</v>
      </c>
      <c r="J20" s="3">
        <f>H20/H18*100</f>
        <v>15.786096256684493</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42.2</v>
      </c>
      <c r="G21" s="3">
        <f>H21/F21*100</f>
        <v>14.796208530805686</v>
      </c>
      <c r="H21" s="3">
        <f>H18-H19-H20</f>
        <v>6.2439999999999998</v>
      </c>
      <c r="I21" s="3">
        <f>I18-I19-I20</f>
        <v>49.647058823529406</v>
      </c>
      <c r="J21" s="3">
        <f>J18-J19-J20</f>
        <v>33.390374331550802</v>
      </c>
      <c r="K21" s="19">
        <f>F21+1710</f>
        <v>1752.2</v>
      </c>
      <c r="L21" s="19">
        <f>F21/1.5+1710</f>
        <v>1738.1333333333334</v>
      </c>
      <c r="M21" s="19">
        <f>K21/10</f>
        <v>175.22</v>
      </c>
      <c r="N21" s="19">
        <f>L21/10</f>
        <v>173.81333333333333</v>
      </c>
      <c r="O21" s="21" t="s">
        <v>33</v>
      </c>
      <c r="P21" s="21" t="s">
        <v>105</v>
      </c>
    </row>
    <row r="30" spans="2:17" x14ac:dyDescent="0.3">
      <c r="L30" s="15">
        <v>13</v>
      </c>
    </row>
  </sheetData>
  <mergeCells count="17">
    <mergeCell ref="K19:Q19"/>
    <mergeCell ref="S13:X13"/>
    <mergeCell ref="S10:U10"/>
    <mergeCell ref="B15:J16"/>
    <mergeCell ref="B9:J9"/>
    <mergeCell ref="S12:U12"/>
    <mergeCell ref="V12:X12"/>
    <mergeCell ref="K12:Q12"/>
    <mergeCell ref="S9:T9"/>
    <mergeCell ref="S8:X8"/>
    <mergeCell ref="K6:Q6"/>
    <mergeCell ref="B2:J2"/>
    <mergeCell ref="B3:J3"/>
    <mergeCell ref="S7:X7"/>
    <mergeCell ref="S4:X4"/>
    <mergeCell ref="S5:X5"/>
    <mergeCell ref="S6:X6"/>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21"/>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6640625" style="15" customWidth="1"/>
    <col min="12" max="12" width="16.88671875" style="15" customWidth="1"/>
    <col min="13" max="13" width="11.44140625" style="15" customWidth="1"/>
    <col min="14" max="14" width="14.44140625" style="15" customWidth="1"/>
    <col min="15" max="15" width="16.6640625" style="15" customWidth="1"/>
    <col min="16" max="16" width="11.4414062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200</v>
      </c>
      <c r="E5" s="4">
        <v>15</v>
      </c>
      <c r="F5" s="3">
        <f>D5*(100-E5)/100</f>
        <v>170</v>
      </c>
      <c r="G5" s="4">
        <v>28</v>
      </c>
      <c r="H5" s="3">
        <f>G5*F5/100</f>
        <v>47.6</v>
      </c>
      <c r="I5" s="3">
        <v>100</v>
      </c>
      <c r="J5" s="3">
        <v>100</v>
      </c>
      <c r="K5" s="9"/>
      <c r="L5" s="10"/>
      <c r="M5" s="10"/>
      <c r="N5" s="10"/>
      <c r="O5" s="10"/>
      <c r="P5" s="10"/>
      <c r="S5" s="160" t="s">
        <v>212</v>
      </c>
      <c r="T5" s="160"/>
      <c r="U5" s="160"/>
      <c r="V5" s="160"/>
      <c r="W5" s="160"/>
      <c r="X5" s="160"/>
    </row>
    <row r="6" spans="2:24" ht="25.2" customHeight="1" thickBot="1" x14ac:dyDescent="0.35">
      <c r="B6" s="5">
        <v>2</v>
      </c>
      <c r="C6" s="6" t="s">
        <v>189</v>
      </c>
      <c r="D6" s="5">
        <v>87</v>
      </c>
      <c r="E6" s="4">
        <v>12</v>
      </c>
      <c r="F6" s="4">
        <f t="shared" ref="F6:F7" si="0">D6*(100-E6)/100</f>
        <v>76.56</v>
      </c>
      <c r="G6" s="4">
        <v>42</v>
      </c>
      <c r="H6" s="4">
        <f t="shared" ref="H6:H7" si="1">G6*F6/100</f>
        <v>32.155200000000001</v>
      </c>
      <c r="I6" s="4">
        <f>F6/F5*100</f>
        <v>45.035294117647062</v>
      </c>
      <c r="J6" s="4">
        <f>H6/H5*100</f>
        <v>67.552941176470583</v>
      </c>
      <c r="K6" s="153" t="s">
        <v>200</v>
      </c>
      <c r="L6" s="154"/>
      <c r="M6" s="154"/>
      <c r="N6" s="154"/>
      <c r="O6" s="154"/>
      <c r="P6" s="154"/>
      <c r="Q6" s="154"/>
      <c r="S6" s="159" t="s">
        <v>211</v>
      </c>
      <c r="T6" s="159"/>
      <c r="U6" s="159"/>
      <c r="V6" s="159"/>
      <c r="W6" s="159"/>
      <c r="X6" s="159"/>
    </row>
    <row r="7" spans="2:24" ht="25.2" customHeight="1" thickBot="1" x14ac:dyDescent="0.35">
      <c r="B7" s="1">
        <v>3</v>
      </c>
      <c r="C7" s="2" t="s">
        <v>207</v>
      </c>
      <c r="D7" s="5">
        <v>50</v>
      </c>
      <c r="E7" s="4">
        <v>18</v>
      </c>
      <c r="F7" s="3">
        <f t="shared" si="0"/>
        <v>41</v>
      </c>
      <c r="G7" s="4">
        <v>20</v>
      </c>
      <c r="H7" s="3">
        <f t="shared" si="1"/>
        <v>8.1999999999999993</v>
      </c>
      <c r="I7" s="3">
        <f>F7/F5*100</f>
        <v>24.117647058823529</v>
      </c>
      <c r="J7" s="3">
        <f>H7/H5*100</f>
        <v>17.226890756302517</v>
      </c>
      <c r="K7" s="17" t="s">
        <v>201</v>
      </c>
      <c r="L7" s="75" t="s">
        <v>202</v>
      </c>
      <c r="M7" s="75" t="s">
        <v>203</v>
      </c>
      <c r="N7" s="75" t="s">
        <v>204</v>
      </c>
      <c r="O7" s="75" t="s">
        <v>205</v>
      </c>
      <c r="P7" s="75" t="s">
        <v>206</v>
      </c>
      <c r="Q7" s="74"/>
      <c r="S7" s="152" t="s">
        <v>19</v>
      </c>
      <c r="T7" s="152"/>
      <c r="U7" s="152"/>
      <c r="V7" s="152"/>
      <c r="W7" s="152"/>
      <c r="X7" s="152"/>
    </row>
    <row r="8" spans="2:24" ht="25.2" customHeight="1" thickBot="1" x14ac:dyDescent="0.35">
      <c r="B8" s="1">
        <v>4</v>
      </c>
      <c r="C8" s="2" t="s">
        <v>190</v>
      </c>
      <c r="D8" s="1"/>
      <c r="E8" s="1"/>
      <c r="F8" s="3">
        <f>F5-F6-F7</f>
        <v>52.44</v>
      </c>
      <c r="G8" s="3">
        <f>H8/F8*100</f>
        <v>13.815408085430972</v>
      </c>
      <c r="H8" s="3">
        <f>H5-H6-H7</f>
        <v>7.2448000000000015</v>
      </c>
      <c r="I8" s="3">
        <f>I5-I6-I7</f>
        <v>30.847058823529409</v>
      </c>
      <c r="J8" s="3">
        <f>J5-J6-J7</f>
        <v>15.220168067226901</v>
      </c>
      <c r="K8" s="19">
        <f>F8</f>
        <v>52.44</v>
      </c>
      <c r="L8" s="19">
        <f>F8/1.5</f>
        <v>34.96</v>
      </c>
      <c r="M8" s="19">
        <f>K8/10</f>
        <v>5.2439999999999998</v>
      </c>
      <c r="N8" s="19">
        <f>L8/10</f>
        <v>3.496</v>
      </c>
      <c r="O8" s="22"/>
      <c r="P8" s="22"/>
      <c r="Q8" s="16"/>
      <c r="S8" s="160">
        <v>360</v>
      </c>
      <c r="T8" s="160"/>
      <c r="U8" s="23"/>
      <c r="V8" s="23"/>
      <c r="W8" s="23"/>
      <c r="X8" s="23"/>
    </row>
    <row r="9" spans="2:24" ht="25.2" customHeight="1" thickBot="1" x14ac:dyDescent="0.35">
      <c r="B9" s="158" t="s">
        <v>196</v>
      </c>
      <c r="C9" s="158"/>
      <c r="D9" s="158"/>
      <c r="E9" s="158"/>
      <c r="F9" s="158"/>
      <c r="G9" s="158"/>
      <c r="H9" s="158"/>
      <c r="I9" s="158"/>
      <c r="J9" s="158"/>
      <c r="K9" s="8"/>
      <c r="L9" s="8"/>
      <c r="M9" s="8"/>
      <c r="N9" s="8"/>
      <c r="O9" s="13"/>
      <c r="P9" s="8"/>
      <c r="S9" s="161" t="s">
        <v>213</v>
      </c>
      <c r="T9" s="161"/>
      <c r="U9" s="161"/>
      <c r="V9" s="161"/>
      <c r="W9" s="161"/>
      <c r="X9" s="161"/>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61"/>
      <c r="T10" s="161"/>
      <c r="U10" s="161"/>
      <c r="V10" s="161"/>
      <c r="W10" s="161"/>
      <c r="X10" s="161"/>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90</v>
      </c>
      <c r="E13" s="4">
        <v>18</v>
      </c>
      <c r="F13" s="3">
        <f t="shared" si="2"/>
        <v>73.8</v>
      </c>
      <c r="G13" s="4">
        <v>15</v>
      </c>
      <c r="H13" s="3">
        <f t="shared" si="3"/>
        <v>11.07</v>
      </c>
      <c r="I13" s="3">
        <f>F13/F11*100</f>
        <v>43.411764705882348</v>
      </c>
      <c r="J13" s="3">
        <f>H13/H11*100</f>
        <v>36.17647058823529</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61.000000000000014</v>
      </c>
      <c r="G14" s="3">
        <f>H14/F14*100</f>
        <v>11.242622950819671</v>
      </c>
      <c r="H14" s="3">
        <f>H11-H12-H13</f>
        <v>6.8580000000000005</v>
      </c>
      <c r="I14" s="3">
        <f>I11-I12-I13</f>
        <v>35.882352941176464</v>
      </c>
      <c r="J14" s="3">
        <f>J11-J12-J13</f>
        <v>22.411764705882355</v>
      </c>
      <c r="K14" s="19">
        <f>F14</f>
        <v>61.000000000000014</v>
      </c>
      <c r="L14" s="19">
        <f>F14/1.5</f>
        <v>40.666666666666679</v>
      </c>
      <c r="M14" s="19">
        <f>K14/10</f>
        <v>6.1000000000000014</v>
      </c>
      <c r="N14" s="19">
        <f>L14/10</f>
        <v>4.0666666666666682</v>
      </c>
      <c r="O14" s="22"/>
      <c r="P14" s="22"/>
      <c r="Q14" s="16"/>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100</v>
      </c>
      <c r="E18" s="4">
        <v>15</v>
      </c>
      <c r="F18" s="3">
        <f>D18*(100-E18)/100</f>
        <v>85</v>
      </c>
      <c r="G18" s="4">
        <v>22</v>
      </c>
      <c r="H18" s="3">
        <f>G18*F18/100</f>
        <v>18.7</v>
      </c>
      <c r="I18" s="3">
        <v>100</v>
      </c>
      <c r="J18" s="3">
        <v>100</v>
      </c>
      <c r="K18" s="11"/>
      <c r="L18" s="12"/>
      <c r="M18" s="12"/>
      <c r="N18" s="12"/>
      <c r="O18" s="12"/>
    </row>
    <row r="19" spans="2:17" ht="36.6" thickBot="1" x14ac:dyDescent="0.35">
      <c r="B19" s="5">
        <v>2</v>
      </c>
      <c r="C19" s="6" t="s">
        <v>189</v>
      </c>
      <c r="D19" s="5">
        <v>30</v>
      </c>
      <c r="E19" s="4">
        <v>12</v>
      </c>
      <c r="F19" s="4">
        <f t="shared" ref="F19:F20" si="4">D19*(100-E19)/100</f>
        <v>26.4</v>
      </c>
      <c r="G19" s="4">
        <v>36</v>
      </c>
      <c r="H19" s="4">
        <f t="shared" ref="H19:H20" si="5">G19*F19/100</f>
        <v>9.5039999999999996</v>
      </c>
      <c r="I19" s="4">
        <f>F19/F18*100</f>
        <v>31.058823529411761</v>
      </c>
      <c r="J19" s="4">
        <f>H19/H18*100</f>
        <v>50.823529411764703</v>
      </c>
      <c r="K19" s="153" t="s">
        <v>200</v>
      </c>
      <c r="L19" s="154"/>
      <c r="M19" s="154"/>
      <c r="N19" s="154"/>
      <c r="O19" s="154"/>
      <c r="P19" s="154"/>
      <c r="Q19" s="154"/>
    </row>
    <row r="20" spans="2:17" ht="36.6" thickBot="1" x14ac:dyDescent="0.35">
      <c r="B20" s="1">
        <v>3</v>
      </c>
      <c r="C20" s="2" t="s">
        <v>207</v>
      </c>
      <c r="D20" s="5">
        <v>30</v>
      </c>
      <c r="E20" s="4">
        <v>18</v>
      </c>
      <c r="F20" s="3">
        <f t="shared" si="4"/>
        <v>24.6</v>
      </c>
      <c r="G20" s="4">
        <v>18</v>
      </c>
      <c r="H20" s="3">
        <f t="shared" si="5"/>
        <v>4.4279999999999999</v>
      </c>
      <c r="I20" s="3">
        <f>F20/F18*100</f>
        <v>28.941176470588236</v>
      </c>
      <c r="J20" s="3">
        <f>H20/H18*100</f>
        <v>23.679144385026738</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34</v>
      </c>
      <c r="G21" s="3">
        <f>H21/F21*100</f>
        <v>14.023529411764704</v>
      </c>
      <c r="H21" s="3">
        <f>H18-H19-H20</f>
        <v>4.7679999999999998</v>
      </c>
      <c r="I21" s="3">
        <f>I18-I19-I20</f>
        <v>40</v>
      </c>
      <c r="J21" s="3">
        <f>J18-J19-J20</f>
        <v>25.497326203208559</v>
      </c>
      <c r="K21" s="19">
        <f>F21</f>
        <v>34</v>
      </c>
      <c r="L21" s="19">
        <f>F21/1.5</f>
        <v>22.666666666666668</v>
      </c>
      <c r="M21" s="19">
        <f>K21/10</f>
        <v>3.4</v>
      </c>
      <c r="N21" s="19">
        <f>L21/10</f>
        <v>2.2666666666666666</v>
      </c>
      <c r="O21" s="22"/>
      <c r="P21" s="22"/>
      <c r="Q21" s="16"/>
    </row>
  </sheetData>
  <mergeCells count="16">
    <mergeCell ref="B2:J2"/>
    <mergeCell ref="B3:J3"/>
    <mergeCell ref="B15:J16"/>
    <mergeCell ref="B9:J9"/>
    <mergeCell ref="K19:Q19"/>
    <mergeCell ref="K6:Q6"/>
    <mergeCell ref="K12:Q12"/>
    <mergeCell ref="S7:X7"/>
    <mergeCell ref="S8:T8"/>
    <mergeCell ref="S12:U12"/>
    <mergeCell ref="V12:X12"/>
    <mergeCell ref="S13:X13"/>
    <mergeCell ref="S9:X10"/>
    <mergeCell ref="S4:X4"/>
    <mergeCell ref="S5:X5"/>
    <mergeCell ref="S6:X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21"/>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6640625" style="15" customWidth="1"/>
    <col min="12" max="12" width="16.88671875" style="15" customWidth="1"/>
    <col min="13" max="13" width="11.44140625" style="15" customWidth="1"/>
    <col min="14" max="14" width="14.44140625" style="15" customWidth="1"/>
    <col min="15" max="15" width="16.6640625" style="15" customWidth="1"/>
    <col min="16" max="16" width="11.4414062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28</v>
      </c>
      <c r="H5" s="3">
        <f>G5*F5/100</f>
        <v>71.400000000000006</v>
      </c>
      <c r="I5" s="3">
        <v>100</v>
      </c>
      <c r="J5" s="3">
        <v>100</v>
      </c>
      <c r="K5" s="9"/>
      <c r="L5" s="10"/>
      <c r="M5" s="10"/>
      <c r="N5" s="10"/>
      <c r="O5" s="10"/>
      <c r="P5" s="10"/>
      <c r="S5" s="160" t="s">
        <v>214</v>
      </c>
      <c r="T5" s="160"/>
      <c r="U5" s="160"/>
      <c r="V5" s="160"/>
      <c r="W5" s="160"/>
      <c r="X5" s="160"/>
    </row>
    <row r="6" spans="2:24" ht="25.2" customHeight="1" thickBot="1" x14ac:dyDescent="0.35">
      <c r="B6" s="5">
        <v>2</v>
      </c>
      <c r="C6" s="6" t="s">
        <v>189</v>
      </c>
      <c r="D6" s="5">
        <v>132</v>
      </c>
      <c r="E6" s="4">
        <v>12</v>
      </c>
      <c r="F6" s="4">
        <f t="shared" ref="F6:F7" si="0">D6*(100-E6)/100</f>
        <v>116.16</v>
      </c>
      <c r="G6" s="4">
        <v>42</v>
      </c>
      <c r="H6" s="4">
        <f t="shared" ref="H6:H7" si="1">G6*F6/100</f>
        <v>48.787200000000006</v>
      </c>
      <c r="I6" s="4">
        <f>F6/F5*100</f>
        <v>45.552941176470583</v>
      </c>
      <c r="J6" s="4">
        <f>H6/H5*100</f>
        <v>68.329411764705881</v>
      </c>
      <c r="K6" s="153" t="s">
        <v>200</v>
      </c>
      <c r="L6" s="154"/>
      <c r="M6" s="154"/>
      <c r="N6" s="154"/>
      <c r="O6" s="154"/>
      <c r="P6" s="154"/>
      <c r="Q6" s="154"/>
      <c r="S6" s="159" t="s">
        <v>211</v>
      </c>
      <c r="T6" s="159"/>
      <c r="U6" s="159"/>
      <c r="V6" s="159"/>
      <c r="W6" s="159"/>
      <c r="X6" s="159"/>
    </row>
    <row r="7" spans="2:24" ht="25.2" customHeight="1" thickBot="1" x14ac:dyDescent="0.35">
      <c r="B7" s="1">
        <v>3</v>
      </c>
      <c r="C7" s="2" t="s">
        <v>207</v>
      </c>
      <c r="D7" s="5">
        <v>80</v>
      </c>
      <c r="E7" s="4">
        <v>18</v>
      </c>
      <c r="F7" s="3">
        <f t="shared" si="0"/>
        <v>65.599999999999994</v>
      </c>
      <c r="G7" s="4">
        <v>20</v>
      </c>
      <c r="H7" s="3">
        <f t="shared" si="1"/>
        <v>13.12</v>
      </c>
      <c r="I7" s="3">
        <f>F7/F5*100</f>
        <v>25.725490196078425</v>
      </c>
      <c r="J7" s="3">
        <f>H7/H5*100</f>
        <v>18.375350140056021</v>
      </c>
      <c r="K7" s="17" t="s">
        <v>201</v>
      </c>
      <c r="L7" s="75" t="s">
        <v>202</v>
      </c>
      <c r="M7" s="75" t="s">
        <v>203</v>
      </c>
      <c r="N7" s="75" t="s">
        <v>204</v>
      </c>
      <c r="O7" s="75" t="s">
        <v>205</v>
      </c>
      <c r="P7" s="75" t="s">
        <v>206</v>
      </c>
      <c r="Q7" s="74"/>
      <c r="S7" s="152" t="s">
        <v>19</v>
      </c>
      <c r="T7" s="152"/>
      <c r="U7" s="152"/>
      <c r="V7" s="152"/>
      <c r="W7" s="152"/>
      <c r="X7" s="152"/>
    </row>
    <row r="8" spans="2:24" ht="25.2" customHeight="1" thickBot="1" x14ac:dyDescent="0.35">
      <c r="B8" s="1">
        <v>4</v>
      </c>
      <c r="C8" s="2" t="s">
        <v>190</v>
      </c>
      <c r="D8" s="1"/>
      <c r="E8" s="1"/>
      <c r="F8" s="3">
        <f>F5-F6-F7</f>
        <v>73.240000000000009</v>
      </c>
      <c r="G8" s="3">
        <f>H8/F8*100</f>
        <v>12.961223375204806</v>
      </c>
      <c r="H8" s="3">
        <f>H5-H6-H7</f>
        <v>9.4928000000000008</v>
      </c>
      <c r="I8" s="3">
        <f>I5-I6-I7</f>
        <v>28.721568627450992</v>
      </c>
      <c r="J8" s="3">
        <f>J5-J6-J7</f>
        <v>13.295238095238098</v>
      </c>
      <c r="K8" s="19">
        <f>F8+S8*10</f>
        <v>1593.24</v>
      </c>
      <c r="L8" s="19">
        <f>F8/1.5+S8*10</f>
        <v>1568.8266666666666</v>
      </c>
      <c r="M8" s="19">
        <f>K8/10</f>
        <v>159.32400000000001</v>
      </c>
      <c r="N8" s="19">
        <f>L8/10</f>
        <v>156.88266666666667</v>
      </c>
      <c r="O8" s="22" t="s">
        <v>20</v>
      </c>
      <c r="P8" s="162" t="s">
        <v>9</v>
      </c>
      <c r="Q8" s="162"/>
      <c r="S8" s="160">
        <f>160*0.95</f>
        <v>152</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90</v>
      </c>
      <c r="E13" s="4">
        <v>18</v>
      </c>
      <c r="F13" s="3">
        <f t="shared" si="2"/>
        <v>73.8</v>
      </c>
      <c r="G13" s="4">
        <v>15</v>
      </c>
      <c r="H13" s="3">
        <f t="shared" si="3"/>
        <v>11.07</v>
      </c>
      <c r="I13" s="3">
        <f>F13/F11*100</f>
        <v>43.411764705882348</v>
      </c>
      <c r="J13" s="3">
        <f>H13/H11*100</f>
        <v>36.17647058823529</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61.000000000000014</v>
      </c>
      <c r="G14" s="3">
        <f>H14/F14*100</f>
        <v>11.242622950819671</v>
      </c>
      <c r="H14" s="3">
        <f>H11-H12-H13</f>
        <v>6.8580000000000005</v>
      </c>
      <c r="I14" s="3">
        <f>I11-I12-I13</f>
        <v>35.882352941176464</v>
      </c>
      <c r="J14" s="3">
        <f>J11-J12-J13</f>
        <v>22.411764705882355</v>
      </c>
      <c r="K14" s="19">
        <f>F14+S8*10</f>
        <v>1581</v>
      </c>
      <c r="L14" s="19">
        <f>F14/1.5+S8*10</f>
        <v>1560.6666666666667</v>
      </c>
      <c r="M14" s="19">
        <f>K14/10</f>
        <v>158.1</v>
      </c>
      <c r="N14" s="19">
        <f>L14/10</f>
        <v>156.06666666666666</v>
      </c>
      <c r="O14" s="22" t="s">
        <v>21</v>
      </c>
      <c r="P14" s="162" t="s">
        <v>22</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70</v>
      </c>
      <c r="E18" s="4">
        <v>15</v>
      </c>
      <c r="F18" s="3">
        <f>D18*(100-E18)/100</f>
        <v>59.5</v>
      </c>
      <c r="G18" s="4">
        <v>22</v>
      </c>
      <c r="H18" s="3">
        <f>G18*F18/100</f>
        <v>13.09</v>
      </c>
      <c r="I18" s="3">
        <v>100</v>
      </c>
      <c r="J18" s="3">
        <v>100</v>
      </c>
      <c r="K18" s="11"/>
      <c r="L18" s="12"/>
      <c r="M18" s="12"/>
      <c r="N18" s="12"/>
      <c r="O18" s="12"/>
    </row>
    <row r="19" spans="2:17" ht="36.6" thickBot="1" x14ac:dyDescent="0.35">
      <c r="B19" s="5">
        <v>2</v>
      </c>
      <c r="C19" s="6" t="s">
        <v>189</v>
      </c>
      <c r="D19" s="5">
        <v>25</v>
      </c>
      <c r="E19" s="4">
        <v>12</v>
      </c>
      <c r="F19" s="4">
        <f t="shared" ref="F19:F20" si="4">D19*(100-E19)/100</f>
        <v>22</v>
      </c>
      <c r="G19" s="4">
        <v>36</v>
      </c>
      <c r="H19" s="4">
        <f t="shared" ref="H19:H20" si="5">G19*F19/100</f>
        <v>7.92</v>
      </c>
      <c r="I19" s="4">
        <f>F19/F18*100</f>
        <v>36.97478991596639</v>
      </c>
      <c r="J19" s="4">
        <f>H19/H18*100</f>
        <v>60.504201680672267</v>
      </c>
      <c r="K19" s="153" t="s">
        <v>200</v>
      </c>
      <c r="L19" s="154"/>
      <c r="M19" s="154"/>
      <c r="N19" s="154"/>
      <c r="O19" s="154"/>
      <c r="P19" s="154"/>
      <c r="Q19" s="154"/>
    </row>
    <row r="20" spans="2:17" ht="36.6" thickBot="1" x14ac:dyDescent="0.35">
      <c r="B20" s="1">
        <v>3</v>
      </c>
      <c r="C20" s="2" t="s">
        <v>207</v>
      </c>
      <c r="D20" s="5">
        <v>15</v>
      </c>
      <c r="E20" s="4">
        <v>18</v>
      </c>
      <c r="F20" s="3">
        <f t="shared" si="4"/>
        <v>12.3</v>
      </c>
      <c r="G20" s="4">
        <v>18</v>
      </c>
      <c r="H20" s="3">
        <f t="shared" si="5"/>
        <v>2.214</v>
      </c>
      <c r="I20" s="3">
        <f>F20/F18*100</f>
        <v>20.672268907563026</v>
      </c>
      <c r="J20" s="3">
        <f>H20/H18*100</f>
        <v>16.913674560733387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25.2</v>
      </c>
      <c r="G21" s="3">
        <f>H21/F21*100</f>
        <v>11.730158730158731</v>
      </c>
      <c r="H21" s="3">
        <f>H18-H19-H20</f>
        <v>2.956</v>
      </c>
      <c r="I21" s="3">
        <f>I18-I19-I20</f>
        <v>42.35294117647058</v>
      </c>
      <c r="J21" s="3">
        <f>J18-J19-J20</f>
        <v>22.582123758594346</v>
      </c>
      <c r="K21" s="19">
        <f>F21+S8*10</f>
        <v>1545.2</v>
      </c>
      <c r="L21" s="19">
        <f>F21/1.5+S8*10</f>
        <v>1536.8</v>
      </c>
      <c r="M21" s="19">
        <f>K21/10</f>
        <v>154.52000000000001</v>
      </c>
      <c r="N21" s="19">
        <f>L21/10</f>
        <v>153.68</v>
      </c>
      <c r="O21" s="22" t="s">
        <v>27</v>
      </c>
      <c r="P21" s="162" t="s">
        <v>28</v>
      </c>
      <c r="Q21" s="162"/>
    </row>
  </sheetData>
  <mergeCells count="20">
    <mergeCell ref="P21:Q21"/>
    <mergeCell ref="B15:J16"/>
    <mergeCell ref="B9:J9"/>
    <mergeCell ref="K19:Q19"/>
    <mergeCell ref="K12:Q12"/>
    <mergeCell ref="P14:Q14"/>
    <mergeCell ref="S13:X13"/>
    <mergeCell ref="B2:J2"/>
    <mergeCell ref="B3:J3"/>
    <mergeCell ref="S4:X4"/>
    <mergeCell ref="S5:X5"/>
    <mergeCell ref="S6:X6"/>
    <mergeCell ref="K6:Q6"/>
    <mergeCell ref="S7:X7"/>
    <mergeCell ref="S8:T8"/>
    <mergeCell ref="P8:Q8"/>
    <mergeCell ref="T9:U9"/>
    <mergeCell ref="S10:U10"/>
    <mergeCell ref="S12:U12"/>
    <mergeCell ref="V12:X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21"/>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6640625" style="15" customWidth="1"/>
    <col min="12" max="12" width="16.88671875" style="15" customWidth="1"/>
    <col min="13" max="13" width="11.44140625" style="15" customWidth="1"/>
    <col min="14" max="14" width="14.44140625" style="15" customWidth="1"/>
    <col min="15" max="15" width="16.6640625" style="15" customWidth="1"/>
    <col min="16" max="16" width="11.4414062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250</v>
      </c>
      <c r="E5" s="4">
        <v>15</v>
      </c>
      <c r="F5" s="3">
        <f>D5*(100-E5)/100</f>
        <v>212.5</v>
      </c>
      <c r="G5" s="4">
        <v>28</v>
      </c>
      <c r="H5" s="3">
        <f>G5*F5/100</f>
        <v>59.5</v>
      </c>
      <c r="I5" s="3">
        <v>100</v>
      </c>
      <c r="J5" s="3">
        <v>100</v>
      </c>
      <c r="K5" s="9"/>
      <c r="L5" s="10"/>
      <c r="M5" s="10"/>
      <c r="N5" s="10"/>
      <c r="O5" s="10"/>
      <c r="P5" s="10"/>
      <c r="S5" s="160" t="s">
        <v>215</v>
      </c>
      <c r="T5" s="160"/>
      <c r="U5" s="160"/>
      <c r="V5" s="160"/>
      <c r="W5" s="160"/>
      <c r="X5" s="160"/>
    </row>
    <row r="6" spans="2:24" ht="25.2" customHeight="1" thickBot="1" x14ac:dyDescent="0.35">
      <c r="B6" s="5">
        <v>2</v>
      </c>
      <c r="C6" s="6" t="s">
        <v>189</v>
      </c>
      <c r="D6" s="5">
        <v>110</v>
      </c>
      <c r="E6" s="4">
        <v>12</v>
      </c>
      <c r="F6" s="4">
        <f t="shared" ref="F6:F7" si="0">D6*(100-E6)/100</f>
        <v>96.8</v>
      </c>
      <c r="G6" s="4">
        <v>42</v>
      </c>
      <c r="H6" s="4">
        <f t="shared" ref="H6:H7" si="1">G6*F6/100</f>
        <v>40.655999999999999</v>
      </c>
      <c r="I6" s="4">
        <f>F6/F5*100</f>
        <v>45.552941176470583</v>
      </c>
      <c r="J6" s="4">
        <f>H6/H5*100</f>
        <v>68.329411764705881</v>
      </c>
      <c r="K6" s="153" t="s">
        <v>200</v>
      </c>
      <c r="L6" s="154"/>
      <c r="M6" s="154"/>
      <c r="N6" s="154"/>
      <c r="O6" s="154"/>
      <c r="P6" s="154"/>
      <c r="Q6" s="154"/>
      <c r="S6" s="159" t="s">
        <v>211</v>
      </c>
      <c r="T6" s="159"/>
      <c r="U6" s="159"/>
      <c r="V6" s="159"/>
      <c r="W6" s="159"/>
      <c r="X6" s="159"/>
    </row>
    <row r="7" spans="2:24" ht="25.2" customHeight="1" thickBot="1" x14ac:dyDescent="0.35">
      <c r="B7" s="1">
        <v>3</v>
      </c>
      <c r="C7" s="2" t="s">
        <v>207</v>
      </c>
      <c r="D7" s="5">
        <v>65</v>
      </c>
      <c r="E7" s="4">
        <v>18</v>
      </c>
      <c r="F7" s="3">
        <f t="shared" si="0"/>
        <v>53.3</v>
      </c>
      <c r="G7" s="4">
        <v>20</v>
      </c>
      <c r="H7" s="3">
        <f t="shared" si="1"/>
        <v>10.66</v>
      </c>
      <c r="I7" s="3">
        <f>F7/F5*100</f>
        <v>25.082352941176467</v>
      </c>
      <c r="J7" s="3">
        <f>H7/H5*100</f>
        <v>17.915966386554622</v>
      </c>
      <c r="K7" s="17" t="s">
        <v>201</v>
      </c>
      <c r="L7" s="75" t="s">
        <v>202</v>
      </c>
      <c r="M7" s="75" t="s">
        <v>203</v>
      </c>
      <c r="N7" s="75" t="s">
        <v>204</v>
      </c>
      <c r="O7" s="75" t="s">
        <v>205</v>
      </c>
      <c r="P7" s="75" t="s">
        <v>206</v>
      </c>
      <c r="Q7" s="74"/>
      <c r="S7" s="152" t="s">
        <v>19</v>
      </c>
      <c r="T7" s="152"/>
      <c r="U7" s="152"/>
      <c r="V7" s="152"/>
      <c r="W7" s="152"/>
      <c r="X7" s="152"/>
    </row>
    <row r="8" spans="2:24" ht="25.2" customHeight="1" thickBot="1" x14ac:dyDescent="0.35">
      <c r="B8" s="1">
        <v>4</v>
      </c>
      <c r="C8" s="2" t="s">
        <v>190</v>
      </c>
      <c r="D8" s="1"/>
      <c r="E8" s="1"/>
      <c r="F8" s="3">
        <f>F5-F6-F7</f>
        <v>62.400000000000006</v>
      </c>
      <c r="G8" s="3">
        <f>H8/F8*100</f>
        <v>13.115384615384615</v>
      </c>
      <c r="H8" s="3">
        <f>H5-H6-H7</f>
        <v>8.1840000000000011</v>
      </c>
      <c r="I8" s="3">
        <f>I5-I6-I7</f>
        <v>29.364705882352951</v>
      </c>
      <c r="J8" s="3">
        <f>J5-J6-J7</f>
        <v>13.754621848739497</v>
      </c>
      <c r="K8" s="19">
        <f>F8+1520</f>
        <v>1582.4</v>
      </c>
      <c r="L8" s="19">
        <f>F8/1.5+1520</f>
        <v>1561.6</v>
      </c>
      <c r="M8" s="19">
        <f>K8/10</f>
        <v>158.24</v>
      </c>
      <c r="N8" s="19">
        <f>L8/10</f>
        <v>156.16</v>
      </c>
      <c r="O8" s="22" t="s">
        <v>3</v>
      </c>
      <c r="P8" s="162" t="s">
        <v>23</v>
      </c>
      <c r="Q8" s="162"/>
      <c r="S8" s="160">
        <f>160*0.95</f>
        <v>152</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85</v>
      </c>
      <c r="E13" s="4">
        <v>18</v>
      </c>
      <c r="F13" s="3">
        <f t="shared" si="2"/>
        <v>69.7</v>
      </c>
      <c r="G13" s="4">
        <v>15</v>
      </c>
      <c r="H13" s="3">
        <f t="shared" si="3"/>
        <v>10.455</v>
      </c>
      <c r="I13" s="3">
        <f>F13/F11*100</f>
        <v>41</v>
      </c>
      <c r="J13" s="3">
        <f>H13/H11*100</f>
        <v>34.166666666666664</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65.100000000000009</v>
      </c>
      <c r="G14" s="3">
        <f>H14/F14*100</f>
        <v>11.479262672811059</v>
      </c>
      <c r="H14" s="3">
        <f>H11-H12-H13</f>
        <v>7.4730000000000008</v>
      </c>
      <c r="I14" s="3">
        <f>I11-I12-I13</f>
        <v>38.294117647058812</v>
      </c>
      <c r="J14" s="3">
        <f>J11-J12-J13</f>
        <v>24.421568627450981</v>
      </c>
      <c r="K14" s="19">
        <f>F14+1520</f>
        <v>1585.1</v>
      </c>
      <c r="L14" s="19">
        <f>F14/1.5+1520</f>
        <v>1563.4</v>
      </c>
      <c r="M14" s="19">
        <f>K14/10</f>
        <v>158.51</v>
      </c>
      <c r="N14" s="19">
        <f>L14/10</f>
        <v>156.34</v>
      </c>
      <c r="O14" s="22" t="s">
        <v>16</v>
      </c>
      <c r="P14" s="162" t="s">
        <v>17</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70</v>
      </c>
      <c r="E18" s="4">
        <v>15</v>
      </c>
      <c r="F18" s="3">
        <f>D18*(100-E18)/100</f>
        <v>59.5</v>
      </c>
      <c r="G18" s="4">
        <v>22</v>
      </c>
      <c r="H18" s="3">
        <f>G18*F18/100</f>
        <v>13.09</v>
      </c>
      <c r="I18" s="3">
        <v>100</v>
      </c>
      <c r="J18" s="3">
        <v>100</v>
      </c>
      <c r="K18" s="11"/>
      <c r="L18" s="12"/>
      <c r="M18" s="12"/>
      <c r="N18" s="12"/>
      <c r="O18" s="12"/>
    </row>
    <row r="19" spans="2:17" ht="36.6" thickBot="1" x14ac:dyDescent="0.35">
      <c r="B19" s="5">
        <v>2</v>
      </c>
      <c r="C19" s="6" t="s">
        <v>189</v>
      </c>
      <c r="D19" s="5">
        <v>25</v>
      </c>
      <c r="E19" s="4">
        <v>12</v>
      </c>
      <c r="F19" s="4">
        <f t="shared" ref="F19:F20" si="4">D19*(100-E19)/100</f>
        <v>22</v>
      </c>
      <c r="G19" s="4">
        <v>36</v>
      </c>
      <c r="H19" s="4">
        <f t="shared" ref="H19:H20" si="5">G19*F19/100</f>
        <v>7.92</v>
      </c>
      <c r="I19" s="4">
        <f>F19/F18*100</f>
        <v>36.97478991596639</v>
      </c>
      <c r="J19" s="4">
        <f>H19/H18*100</f>
        <v>60.504201680672267</v>
      </c>
      <c r="K19" s="153" t="s">
        <v>200</v>
      </c>
      <c r="L19" s="154"/>
      <c r="M19" s="154"/>
      <c r="N19" s="154"/>
      <c r="O19" s="154"/>
      <c r="P19" s="154"/>
      <c r="Q19" s="154"/>
    </row>
    <row r="20" spans="2:17" ht="36.6" thickBot="1" x14ac:dyDescent="0.35">
      <c r="B20" s="1">
        <v>3</v>
      </c>
      <c r="C20" s="2" t="s">
        <v>207</v>
      </c>
      <c r="D20" s="5">
        <v>15</v>
      </c>
      <c r="E20" s="4">
        <v>18</v>
      </c>
      <c r="F20" s="3">
        <f t="shared" si="4"/>
        <v>12.3</v>
      </c>
      <c r="G20" s="4">
        <v>18</v>
      </c>
      <c r="H20" s="3">
        <f t="shared" si="5"/>
        <v>2.214</v>
      </c>
      <c r="I20" s="3">
        <f>F20/F18*100</f>
        <v>20.672268907563026</v>
      </c>
      <c r="J20" s="3">
        <f>H20/H18*100</f>
        <v>16.913674560733387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25.2</v>
      </c>
      <c r="G21" s="3">
        <f>H21/F21*100</f>
        <v>11.730158730158731</v>
      </c>
      <c r="H21" s="3">
        <f>H18-H19-H20</f>
        <v>2.956</v>
      </c>
      <c r="I21" s="3">
        <f>I18-I19-I20</f>
        <v>42.35294117647058</v>
      </c>
      <c r="J21" s="3">
        <f>J18-J19-J20</f>
        <v>22.582123758594346</v>
      </c>
      <c r="K21" s="19">
        <f>F21+1520</f>
        <v>1545.2</v>
      </c>
      <c r="L21" s="19">
        <f>F21/1.5+1520</f>
        <v>1536.8</v>
      </c>
      <c r="M21" s="19">
        <f>K21/10</f>
        <v>154.52000000000001</v>
      </c>
      <c r="N21" s="19">
        <f>L21/10</f>
        <v>153.68</v>
      </c>
      <c r="O21" s="22" t="s">
        <v>27</v>
      </c>
      <c r="P21" s="162" t="s">
        <v>28</v>
      </c>
      <c r="Q21" s="162"/>
    </row>
  </sheetData>
  <mergeCells count="20">
    <mergeCell ref="P21:Q21"/>
    <mergeCell ref="B9:J9"/>
    <mergeCell ref="B15:J16"/>
    <mergeCell ref="K6:Q6"/>
    <mergeCell ref="K12:Q12"/>
    <mergeCell ref="K19:Q19"/>
    <mergeCell ref="P8:Q8"/>
    <mergeCell ref="P14:Q14"/>
    <mergeCell ref="S13:X13"/>
    <mergeCell ref="B2:J2"/>
    <mergeCell ref="B3:J3"/>
    <mergeCell ref="S4:X4"/>
    <mergeCell ref="S5:X5"/>
    <mergeCell ref="S6:X6"/>
    <mergeCell ref="S7:X7"/>
    <mergeCell ref="T9:U9"/>
    <mergeCell ref="S10:U10"/>
    <mergeCell ref="S12:U12"/>
    <mergeCell ref="V12:X12"/>
    <mergeCell ref="S8:T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21"/>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6640625" style="15" customWidth="1"/>
    <col min="12" max="12" width="16.88671875" style="15" customWidth="1"/>
    <col min="13" max="13" width="11.44140625" style="15" customWidth="1"/>
    <col min="14" max="14" width="14.44140625" style="15" customWidth="1"/>
    <col min="15" max="15" width="16.6640625" style="15" customWidth="1"/>
    <col min="16" max="16" width="11.4414062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300</v>
      </c>
      <c r="E5" s="4">
        <v>15</v>
      </c>
      <c r="F5" s="3">
        <f>D5*(100-E5)/100</f>
        <v>255</v>
      </c>
      <c r="G5" s="4">
        <v>28</v>
      </c>
      <c r="H5" s="3">
        <f>G5*F5/100</f>
        <v>71.400000000000006</v>
      </c>
      <c r="I5" s="3">
        <v>100</v>
      </c>
      <c r="J5" s="3">
        <v>100</v>
      </c>
      <c r="K5" s="9"/>
      <c r="L5" s="10"/>
      <c r="M5" s="10"/>
      <c r="N5" s="10"/>
      <c r="O5" s="10"/>
      <c r="P5" s="10"/>
      <c r="S5" s="160"/>
      <c r="T5" s="160"/>
      <c r="U5" s="160"/>
      <c r="V5" s="160"/>
      <c r="W5" s="160"/>
      <c r="X5" s="160"/>
    </row>
    <row r="6" spans="2:24" ht="25.2" customHeight="1" thickBot="1" x14ac:dyDescent="0.35">
      <c r="B6" s="5">
        <v>2</v>
      </c>
      <c r="C6" s="6" t="s">
        <v>189</v>
      </c>
      <c r="D6" s="5">
        <v>132</v>
      </c>
      <c r="E6" s="4">
        <v>12</v>
      </c>
      <c r="F6" s="4">
        <f t="shared" ref="F6:F7" si="0">D6*(100-E6)/100</f>
        <v>116.16</v>
      </c>
      <c r="G6" s="4">
        <v>42</v>
      </c>
      <c r="H6" s="4">
        <f t="shared" ref="H6:H7" si="1">G6*F6/100</f>
        <v>48.787200000000006</v>
      </c>
      <c r="I6" s="4">
        <f>F6/F5*100</f>
        <v>45.552941176470583</v>
      </c>
      <c r="J6" s="4">
        <f>H6/H5*100</f>
        <v>68.329411764705881</v>
      </c>
      <c r="K6" s="153" t="s">
        <v>200</v>
      </c>
      <c r="L6" s="154"/>
      <c r="M6" s="154"/>
      <c r="N6" s="154"/>
      <c r="O6" s="154"/>
      <c r="P6" s="154"/>
      <c r="Q6" s="154"/>
      <c r="S6" s="160" t="s">
        <v>214</v>
      </c>
      <c r="T6" s="160"/>
      <c r="U6" s="160"/>
      <c r="V6" s="160"/>
      <c r="W6" s="160"/>
      <c r="X6" s="160"/>
    </row>
    <row r="7" spans="2:24" ht="25.2" customHeight="1" thickBot="1" x14ac:dyDescent="0.35">
      <c r="B7" s="1">
        <v>3</v>
      </c>
      <c r="C7" s="2" t="s">
        <v>207</v>
      </c>
      <c r="D7" s="5">
        <v>80</v>
      </c>
      <c r="E7" s="4">
        <v>18</v>
      </c>
      <c r="F7" s="3">
        <f t="shared" si="0"/>
        <v>65.599999999999994</v>
      </c>
      <c r="G7" s="4">
        <v>20</v>
      </c>
      <c r="H7" s="3">
        <f t="shared" si="1"/>
        <v>13.12</v>
      </c>
      <c r="I7" s="3">
        <f>F7/F5*100</f>
        <v>25.725490196078425</v>
      </c>
      <c r="J7" s="3">
        <f>H7/H5*100</f>
        <v>18.375350140056021</v>
      </c>
      <c r="K7" s="17" t="s">
        <v>201</v>
      </c>
      <c r="L7" s="75" t="s">
        <v>202</v>
      </c>
      <c r="M7" s="75" t="s">
        <v>203</v>
      </c>
      <c r="N7" s="75" t="s">
        <v>204</v>
      </c>
      <c r="O7" s="75" t="s">
        <v>205</v>
      </c>
      <c r="P7" s="75" t="s">
        <v>206</v>
      </c>
      <c r="Q7" s="74"/>
      <c r="S7" s="159" t="s">
        <v>211</v>
      </c>
      <c r="T7" s="159"/>
      <c r="U7" s="159"/>
      <c r="V7" s="159"/>
      <c r="W7" s="159"/>
      <c r="X7" s="159"/>
    </row>
    <row r="8" spans="2:24" ht="25.2" customHeight="1" thickBot="1" x14ac:dyDescent="0.35">
      <c r="B8" s="1">
        <v>4</v>
      </c>
      <c r="C8" s="2" t="s">
        <v>190</v>
      </c>
      <c r="D8" s="1"/>
      <c r="E8" s="1"/>
      <c r="F8" s="3">
        <f>F5-F6-F7</f>
        <v>73.240000000000009</v>
      </c>
      <c r="G8" s="3">
        <f>H8/F8*100</f>
        <v>12.961223375204806</v>
      </c>
      <c r="H8" s="3">
        <f>H5-H6-H7</f>
        <v>9.4928000000000008</v>
      </c>
      <c r="I8" s="3">
        <f>I5-I6-I7</f>
        <v>28.721568627450992</v>
      </c>
      <c r="J8" s="3">
        <f>J5-J6-J7</f>
        <v>13.295238095238098</v>
      </c>
      <c r="K8" s="19">
        <f>F8+S9*10</f>
        <v>1593.24</v>
      </c>
      <c r="L8" s="19">
        <f>F8/1.5+S9*10</f>
        <v>1568.8266666666666</v>
      </c>
      <c r="M8" s="19">
        <f>K8/10</f>
        <v>159.32400000000001</v>
      </c>
      <c r="N8" s="19">
        <f>L8/10</f>
        <v>156.88266666666667</v>
      </c>
      <c r="O8" s="22" t="s">
        <v>20</v>
      </c>
      <c r="P8" s="162" t="s">
        <v>9</v>
      </c>
      <c r="Q8" s="162"/>
      <c r="S8" s="152" t="s">
        <v>19</v>
      </c>
      <c r="T8" s="152"/>
      <c r="U8" s="152"/>
      <c r="V8" s="152"/>
      <c r="W8" s="152"/>
      <c r="X8" s="152"/>
    </row>
    <row r="9" spans="2:24" ht="25.2" customHeight="1" thickBot="1" x14ac:dyDescent="0.35">
      <c r="B9" s="158" t="s">
        <v>196</v>
      </c>
      <c r="C9" s="158"/>
      <c r="D9" s="158"/>
      <c r="E9" s="158"/>
      <c r="F9" s="158"/>
      <c r="G9" s="158"/>
      <c r="H9" s="158"/>
      <c r="I9" s="158"/>
      <c r="J9" s="158"/>
      <c r="K9" s="8"/>
      <c r="L9" s="8"/>
      <c r="M9" s="8"/>
      <c r="N9" s="8"/>
      <c r="O9" s="13"/>
      <c r="P9" s="8"/>
      <c r="S9" s="160">
        <f>160*0.95</f>
        <v>152</v>
      </c>
      <c r="T9" s="160"/>
      <c r="U9" s="26"/>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200</v>
      </c>
      <c r="E11" s="4">
        <v>15</v>
      </c>
      <c r="F11" s="3">
        <f>D11*(100-E11)/100</f>
        <v>170</v>
      </c>
      <c r="G11" s="4">
        <v>18</v>
      </c>
      <c r="H11" s="3">
        <f>G11*F11/100</f>
        <v>30.6</v>
      </c>
      <c r="I11" s="3">
        <v>100</v>
      </c>
      <c r="J11" s="3">
        <v>100</v>
      </c>
      <c r="K11" s="11"/>
      <c r="L11" s="12"/>
      <c r="M11" s="12"/>
      <c r="N11" s="12"/>
      <c r="O11" s="12"/>
      <c r="P11" s="12"/>
    </row>
    <row r="12" spans="2:24" ht="36.6" thickBot="1" x14ac:dyDescent="0.35">
      <c r="B12" s="5">
        <v>2</v>
      </c>
      <c r="C12" s="6" t="s">
        <v>189</v>
      </c>
      <c r="D12" s="5">
        <v>40</v>
      </c>
      <c r="E12" s="4">
        <v>12</v>
      </c>
      <c r="F12" s="4">
        <f t="shared" ref="F12:F13" si="2">D12*(100-E12)/100</f>
        <v>35.200000000000003</v>
      </c>
      <c r="G12" s="4">
        <v>36</v>
      </c>
      <c r="H12" s="4">
        <f t="shared" ref="H12:H13" si="3">G12*F12/100</f>
        <v>12.672000000000001</v>
      </c>
      <c r="I12" s="4">
        <f>F12/F11*100</f>
        <v>20.705882352941181</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90</v>
      </c>
      <c r="E13" s="4">
        <v>18</v>
      </c>
      <c r="F13" s="3">
        <f t="shared" si="2"/>
        <v>73.8</v>
      </c>
      <c r="G13" s="4">
        <v>15</v>
      </c>
      <c r="H13" s="3">
        <f t="shared" si="3"/>
        <v>11.07</v>
      </c>
      <c r="I13" s="3">
        <f>F13/F11*100</f>
        <v>43.411764705882348</v>
      </c>
      <c r="J13" s="3">
        <f>H13/H11*100</f>
        <v>36.17647058823529</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61.000000000000014</v>
      </c>
      <c r="G14" s="3">
        <f>H14/F14*100</f>
        <v>11.242622950819671</v>
      </c>
      <c r="H14" s="3">
        <f>H11-H12-H13</f>
        <v>6.8580000000000005</v>
      </c>
      <c r="I14" s="3">
        <f>I11-I12-I13</f>
        <v>35.882352941176464</v>
      </c>
      <c r="J14" s="3">
        <f>J11-J12-J13</f>
        <v>22.411764705882355</v>
      </c>
      <c r="K14" s="19">
        <f>F14+S9*10</f>
        <v>1581</v>
      </c>
      <c r="L14" s="19">
        <f>F14/1.5+S9*10</f>
        <v>1560.6666666666667</v>
      </c>
      <c r="M14" s="19">
        <f>K14/10</f>
        <v>158.1</v>
      </c>
      <c r="N14" s="19">
        <f>L14/10</f>
        <v>156.06666666666666</v>
      </c>
      <c r="O14" s="22" t="s">
        <v>21</v>
      </c>
      <c r="P14" s="162" t="s">
        <v>22</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70</v>
      </c>
      <c r="E18" s="4">
        <v>15</v>
      </c>
      <c r="F18" s="3">
        <f>D18*(100-E18)/100</f>
        <v>59.5</v>
      </c>
      <c r="G18" s="4">
        <v>22</v>
      </c>
      <c r="H18" s="3">
        <f>G18*F18/100</f>
        <v>13.09</v>
      </c>
      <c r="I18" s="3">
        <v>100</v>
      </c>
      <c r="J18" s="3">
        <v>100</v>
      </c>
      <c r="K18" s="11"/>
      <c r="L18" s="12"/>
      <c r="M18" s="12"/>
      <c r="N18" s="12"/>
      <c r="O18" s="12"/>
    </row>
    <row r="19" spans="2:17" ht="36.6" thickBot="1" x14ac:dyDescent="0.35">
      <c r="B19" s="5">
        <v>2</v>
      </c>
      <c r="C19" s="6" t="s">
        <v>189</v>
      </c>
      <c r="D19" s="5">
        <v>25</v>
      </c>
      <c r="E19" s="4">
        <v>12</v>
      </c>
      <c r="F19" s="4">
        <f t="shared" ref="F19:F20" si="4">D19*(100-E19)/100</f>
        <v>22</v>
      </c>
      <c r="G19" s="4">
        <v>36</v>
      </c>
      <c r="H19" s="4">
        <f t="shared" ref="H19:H20" si="5">G19*F19/100</f>
        <v>7.92</v>
      </c>
      <c r="I19" s="4">
        <f>F19/F18*100</f>
        <v>36.97478991596639</v>
      </c>
      <c r="J19" s="4">
        <f>H19/H18*100</f>
        <v>60.504201680672267</v>
      </c>
      <c r="K19" s="153" t="s">
        <v>200</v>
      </c>
      <c r="L19" s="154"/>
      <c r="M19" s="154"/>
      <c r="N19" s="154"/>
      <c r="O19" s="154"/>
      <c r="P19" s="154"/>
      <c r="Q19" s="154"/>
    </row>
    <row r="20" spans="2:17" ht="36.6" thickBot="1" x14ac:dyDescent="0.35">
      <c r="B20" s="1">
        <v>3</v>
      </c>
      <c r="C20" s="2" t="s">
        <v>207</v>
      </c>
      <c r="D20" s="5">
        <v>15</v>
      </c>
      <c r="E20" s="4">
        <v>18</v>
      </c>
      <c r="F20" s="3">
        <f t="shared" si="4"/>
        <v>12.3</v>
      </c>
      <c r="G20" s="4">
        <v>18</v>
      </c>
      <c r="H20" s="3">
        <f t="shared" si="5"/>
        <v>2.214</v>
      </c>
      <c r="I20" s="3">
        <f>F20/F18*100</f>
        <v>20.672268907563026</v>
      </c>
      <c r="J20" s="3">
        <f>H20/H18*100</f>
        <v>16.913674560733387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25.2</v>
      </c>
      <c r="G21" s="3">
        <f>H21/F21*100</f>
        <v>11.730158730158731</v>
      </c>
      <c r="H21" s="3">
        <f>H18-H19-H20</f>
        <v>2.956</v>
      </c>
      <c r="I21" s="3">
        <f>I18-I19-I20</f>
        <v>42.35294117647058</v>
      </c>
      <c r="J21" s="3">
        <f>J18-J19-J20</f>
        <v>22.582123758594346</v>
      </c>
      <c r="K21" s="19">
        <f>F21+S9*10</f>
        <v>1545.2</v>
      </c>
      <c r="L21" s="19">
        <f>F21/1.5+S9*10</f>
        <v>1536.8</v>
      </c>
      <c r="M21" s="19">
        <f>K21/10</f>
        <v>154.52000000000001</v>
      </c>
      <c r="N21" s="19">
        <f>L21/10</f>
        <v>153.68</v>
      </c>
      <c r="O21" s="22" t="s">
        <v>27</v>
      </c>
      <c r="P21" s="162" t="s">
        <v>28</v>
      </c>
      <c r="Q21" s="162"/>
    </row>
  </sheetData>
  <mergeCells count="20">
    <mergeCell ref="B15:J16"/>
    <mergeCell ref="B9:J9"/>
    <mergeCell ref="P8:Q8"/>
    <mergeCell ref="P14:Q14"/>
    <mergeCell ref="P21:Q21"/>
    <mergeCell ref="K6:Q6"/>
    <mergeCell ref="K12:Q12"/>
    <mergeCell ref="K19:Q19"/>
    <mergeCell ref="S8:X8"/>
    <mergeCell ref="S10:U10"/>
    <mergeCell ref="S12:U12"/>
    <mergeCell ref="V12:X12"/>
    <mergeCell ref="S13:X13"/>
    <mergeCell ref="S7:X7"/>
    <mergeCell ref="S9:T9"/>
    <mergeCell ref="B2:J2"/>
    <mergeCell ref="B3:J3"/>
    <mergeCell ref="S4:X4"/>
    <mergeCell ref="S5:X5"/>
    <mergeCell ref="S6:X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21"/>
  <sheetViews>
    <sheetView topLeftCell="B1" workbookViewId="0">
      <selection activeCell="B3" sqref="B3:J3"/>
    </sheetView>
  </sheetViews>
  <sheetFormatPr defaultColWidth="8.88671875" defaultRowHeight="13.8" x14ac:dyDescent="0.3"/>
  <cols>
    <col min="1" max="1" width="1.88671875" style="15" customWidth="1"/>
    <col min="2" max="2" width="4.109375" style="15" customWidth="1"/>
    <col min="3" max="3" width="14.44140625" style="15" customWidth="1"/>
    <col min="4" max="4" width="10.33203125" style="15" customWidth="1"/>
    <col min="5" max="5" width="6.33203125" style="15" customWidth="1"/>
    <col min="6" max="6" width="10.6640625" style="15" customWidth="1"/>
    <col min="7" max="7" width="8.5546875" style="15" customWidth="1"/>
    <col min="8" max="8" width="9.88671875" style="15" customWidth="1"/>
    <col min="9" max="9" width="10.88671875" style="15" customWidth="1"/>
    <col min="10" max="10" width="11.44140625" style="15" customWidth="1"/>
    <col min="11" max="11" width="15.6640625" style="15" customWidth="1"/>
    <col min="12" max="12" width="16.88671875" style="15" customWidth="1"/>
    <col min="13" max="13" width="11.44140625" style="15" customWidth="1"/>
    <col min="14" max="14" width="14.44140625" style="15" customWidth="1"/>
    <col min="15" max="15" width="16.6640625" style="15" customWidth="1"/>
    <col min="16" max="16" width="11.44140625" style="15" customWidth="1"/>
    <col min="17" max="17" width="7.33203125" style="15" customWidth="1"/>
    <col min="18" max="16384" width="8.88671875" style="15"/>
  </cols>
  <sheetData>
    <row r="1" spans="2:24" ht="15.6" customHeight="1" x14ac:dyDescent="0.3"/>
    <row r="2" spans="2:24" ht="20.399999999999999" customHeight="1" x14ac:dyDescent="0.3">
      <c r="B2" s="155"/>
      <c r="C2" s="155"/>
      <c r="D2" s="155"/>
      <c r="E2" s="155"/>
      <c r="F2" s="155"/>
      <c r="G2" s="155"/>
      <c r="H2" s="155"/>
      <c r="I2" s="155"/>
      <c r="J2" s="155"/>
      <c r="K2" s="14"/>
      <c r="L2" s="14"/>
      <c r="M2" s="14"/>
      <c r="N2" s="14"/>
      <c r="O2" s="14"/>
      <c r="P2" s="14"/>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250</v>
      </c>
      <c r="E5" s="4">
        <v>15</v>
      </c>
      <c r="F5" s="3">
        <f>D5*(100-E5)/100</f>
        <v>212.5</v>
      </c>
      <c r="G5" s="4">
        <v>28</v>
      </c>
      <c r="H5" s="3">
        <f>G5*F5/100</f>
        <v>59.5</v>
      </c>
      <c r="I5" s="3">
        <v>100</v>
      </c>
      <c r="J5" s="3">
        <v>100</v>
      </c>
      <c r="K5" s="9"/>
      <c r="L5" s="10"/>
      <c r="M5" s="10"/>
      <c r="N5" s="10"/>
      <c r="O5" s="10"/>
      <c r="P5" s="10"/>
      <c r="S5" s="160" t="s">
        <v>214</v>
      </c>
      <c r="T5" s="160"/>
      <c r="U5" s="160"/>
      <c r="V5" s="160"/>
      <c r="W5" s="160"/>
      <c r="X5" s="160"/>
    </row>
    <row r="6" spans="2:24" ht="25.2" customHeight="1" thickBot="1" x14ac:dyDescent="0.35">
      <c r="B6" s="5">
        <v>2</v>
      </c>
      <c r="C6" s="6" t="s">
        <v>189</v>
      </c>
      <c r="D6" s="5">
        <v>110</v>
      </c>
      <c r="E6" s="4">
        <v>12</v>
      </c>
      <c r="F6" s="4">
        <f t="shared" ref="F6:F7" si="0">D6*(100-E6)/100</f>
        <v>96.8</v>
      </c>
      <c r="G6" s="4">
        <v>42</v>
      </c>
      <c r="H6" s="4">
        <f t="shared" ref="H6:H7" si="1">G6*F6/100</f>
        <v>40.655999999999999</v>
      </c>
      <c r="I6" s="4">
        <f>F6/F5*100</f>
        <v>45.552941176470583</v>
      </c>
      <c r="J6" s="4">
        <f>H6/H5*100</f>
        <v>68.329411764705881</v>
      </c>
      <c r="K6" s="153" t="s">
        <v>200</v>
      </c>
      <c r="L6" s="154"/>
      <c r="M6" s="154"/>
      <c r="N6" s="154"/>
      <c r="O6" s="154"/>
      <c r="P6" s="154"/>
      <c r="Q6" s="154"/>
      <c r="S6" s="159" t="s">
        <v>211</v>
      </c>
      <c r="T6" s="159"/>
      <c r="U6" s="159"/>
      <c r="V6" s="159"/>
      <c r="W6" s="159"/>
      <c r="X6" s="159"/>
    </row>
    <row r="7" spans="2:24" ht="25.2" customHeight="1" thickBot="1" x14ac:dyDescent="0.35">
      <c r="B7" s="1">
        <v>3</v>
      </c>
      <c r="C7" s="2" t="s">
        <v>207</v>
      </c>
      <c r="D7" s="5">
        <v>70</v>
      </c>
      <c r="E7" s="4">
        <v>18</v>
      </c>
      <c r="F7" s="3">
        <f t="shared" si="0"/>
        <v>57.4</v>
      </c>
      <c r="G7" s="4">
        <v>20</v>
      </c>
      <c r="H7" s="3">
        <f t="shared" si="1"/>
        <v>11.48</v>
      </c>
      <c r="I7" s="3">
        <f>F7/F5*100</f>
        <v>27.011764705882353</v>
      </c>
      <c r="J7" s="3">
        <f>H7/H5*100</f>
        <v>19.294117647058826</v>
      </c>
      <c r="K7" s="17" t="s">
        <v>201</v>
      </c>
      <c r="L7" s="75" t="s">
        <v>202</v>
      </c>
      <c r="M7" s="75" t="s">
        <v>203</v>
      </c>
      <c r="N7" s="75" t="s">
        <v>204</v>
      </c>
      <c r="O7" s="75" t="s">
        <v>205</v>
      </c>
      <c r="P7" s="75" t="s">
        <v>206</v>
      </c>
      <c r="Q7" s="74"/>
      <c r="S7" s="152" t="s">
        <v>19</v>
      </c>
      <c r="T7" s="152"/>
      <c r="U7" s="152"/>
      <c r="V7" s="152"/>
      <c r="W7" s="152"/>
      <c r="X7" s="152"/>
    </row>
    <row r="8" spans="2:24" ht="25.2" customHeight="1" thickBot="1" x14ac:dyDescent="0.35">
      <c r="B8" s="1">
        <v>4</v>
      </c>
      <c r="C8" s="2" t="s">
        <v>190</v>
      </c>
      <c r="D8" s="1"/>
      <c r="E8" s="1"/>
      <c r="F8" s="3">
        <f>F5-F6-F7</f>
        <v>58.300000000000004</v>
      </c>
      <c r="G8" s="3">
        <f>H8/F8*100</f>
        <v>12.631217838765007</v>
      </c>
      <c r="H8" s="3">
        <f>H5-H6-H7</f>
        <v>7.3640000000000008</v>
      </c>
      <c r="I8" s="3">
        <f>I5-I6-I7</f>
        <v>27.435294117647064</v>
      </c>
      <c r="J8" s="3">
        <f>J5-J6-J7</f>
        <v>12.376470588235293</v>
      </c>
      <c r="K8" s="19">
        <f>F8+S8*10</f>
        <v>1578.3</v>
      </c>
      <c r="L8" s="19">
        <f>F8/1.5+S8*10</f>
        <v>1558.8666666666666</v>
      </c>
      <c r="M8" s="19">
        <f>K8/10</f>
        <v>157.82999999999998</v>
      </c>
      <c r="N8" s="19">
        <f>L8/10</f>
        <v>155.88666666666666</v>
      </c>
      <c r="O8" s="22" t="s">
        <v>30</v>
      </c>
      <c r="P8" s="162" t="s">
        <v>31</v>
      </c>
      <c r="Q8" s="162"/>
      <c r="S8" s="160">
        <f>160*0.95</f>
        <v>152</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180</v>
      </c>
      <c r="E11" s="4">
        <v>15</v>
      </c>
      <c r="F11" s="3">
        <f>D11*(100-E11)/100</f>
        <v>153</v>
      </c>
      <c r="G11" s="4">
        <v>18</v>
      </c>
      <c r="H11" s="3">
        <f>G11*F11/100</f>
        <v>27.54</v>
      </c>
      <c r="I11" s="3">
        <v>100</v>
      </c>
      <c r="J11" s="3">
        <v>100</v>
      </c>
      <c r="K11" s="11"/>
      <c r="L11" s="12"/>
      <c r="M11" s="12"/>
      <c r="N11" s="12"/>
      <c r="O11" s="12"/>
      <c r="P11" s="12"/>
    </row>
    <row r="12" spans="2:24" ht="36.6" thickBot="1" x14ac:dyDescent="0.35">
      <c r="B12" s="5">
        <v>2</v>
      </c>
      <c r="C12" s="6" t="s">
        <v>189</v>
      </c>
      <c r="D12" s="5">
        <v>36</v>
      </c>
      <c r="E12" s="4">
        <v>12</v>
      </c>
      <c r="F12" s="4">
        <f t="shared" ref="F12:F13" si="2">D12*(100-E12)/100</f>
        <v>31.68</v>
      </c>
      <c r="G12" s="4">
        <v>36</v>
      </c>
      <c r="H12" s="4">
        <f t="shared" ref="H12:H13" si="3">G12*F12/100</f>
        <v>11.4048</v>
      </c>
      <c r="I12" s="4">
        <f>F12/F11*100</f>
        <v>20.705882352941178</v>
      </c>
      <c r="J12" s="4">
        <f>H12/H11*100</f>
        <v>41.411764705882355</v>
      </c>
      <c r="K12" s="153" t="s">
        <v>200</v>
      </c>
      <c r="L12" s="154"/>
      <c r="M12" s="154"/>
      <c r="N12" s="154"/>
      <c r="O12" s="154"/>
      <c r="P12" s="154"/>
      <c r="Q12" s="154"/>
      <c r="S12" s="152"/>
      <c r="T12" s="152"/>
      <c r="U12" s="152"/>
      <c r="V12" s="152"/>
      <c r="W12" s="152"/>
      <c r="X12" s="152"/>
    </row>
    <row r="13" spans="2:24" ht="36.6" thickBot="1" x14ac:dyDescent="0.35">
      <c r="B13" s="1">
        <v>3</v>
      </c>
      <c r="C13" s="2" t="s">
        <v>207</v>
      </c>
      <c r="D13" s="5">
        <v>80</v>
      </c>
      <c r="E13" s="4">
        <v>18</v>
      </c>
      <c r="F13" s="3">
        <f t="shared" si="2"/>
        <v>65.599999999999994</v>
      </c>
      <c r="G13" s="4">
        <v>15</v>
      </c>
      <c r="H13" s="3">
        <f t="shared" si="3"/>
        <v>9.8399999999999981</v>
      </c>
      <c r="I13" s="3">
        <f>F13/F11*100</f>
        <v>42.875816993464049</v>
      </c>
      <c r="J13" s="3">
        <f>H13/H11*100</f>
        <v>35.729847494553368</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55.72</v>
      </c>
      <c r="G14" s="3">
        <f>H14/F14*100</f>
        <v>11.297918162239769</v>
      </c>
      <c r="H14" s="3">
        <f>H11-H12-H13</f>
        <v>6.2951999999999995</v>
      </c>
      <c r="I14" s="3">
        <f>I11-I12-I13</f>
        <v>36.418300653594777</v>
      </c>
      <c r="J14" s="3">
        <f>J11-J12-J13</f>
        <v>22.858387799564277</v>
      </c>
      <c r="K14" s="19">
        <f>F14+S8*10</f>
        <v>1575.72</v>
      </c>
      <c r="L14" s="19">
        <f>F14/1.5+S8*10</f>
        <v>1557.1466666666668</v>
      </c>
      <c r="M14" s="19">
        <f>K14/10</f>
        <v>157.572</v>
      </c>
      <c r="N14" s="19">
        <f>L14/10</f>
        <v>155.71466666666669</v>
      </c>
      <c r="O14" s="22" t="s">
        <v>32</v>
      </c>
      <c r="P14" s="162" t="s">
        <v>33</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70</v>
      </c>
      <c r="E18" s="4">
        <v>15</v>
      </c>
      <c r="F18" s="3">
        <f>D18*(100-E18)/100</f>
        <v>59.5</v>
      </c>
      <c r="G18" s="4">
        <v>22</v>
      </c>
      <c r="H18" s="3">
        <f>G18*F18/100</f>
        <v>13.09</v>
      </c>
      <c r="I18" s="3">
        <v>100</v>
      </c>
      <c r="J18" s="3">
        <v>100</v>
      </c>
      <c r="K18" s="11"/>
      <c r="L18" s="12"/>
      <c r="M18" s="12"/>
      <c r="N18" s="12"/>
      <c r="O18" s="12"/>
    </row>
    <row r="19" spans="2:17" ht="36.6" thickBot="1" x14ac:dyDescent="0.35">
      <c r="B19" s="5">
        <v>2</v>
      </c>
      <c r="C19" s="6" t="s">
        <v>189</v>
      </c>
      <c r="D19" s="5">
        <v>25</v>
      </c>
      <c r="E19" s="4">
        <v>12</v>
      </c>
      <c r="F19" s="4">
        <f t="shared" ref="F19:F20" si="4">D19*(100-E19)/100</f>
        <v>22</v>
      </c>
      <c r="G19" s="4">
        <v>36</v>
      </c>
      <c r="H19" s="4">
        <f t="shared" ref="H19:H20" si="5">G19*F19/100</f>
        <v>7.92</v>
      </c>
      <c r="I19" s="4">
        <f>F19/F18*100</f>
        <v>36.97478991596639</v>
      </c>
      <c r="J19" s="4">
        <f>H19/H18*100</f>
        <v>60.504201680672267</v>
      </c>
      <c r="K19" s="153" t="s">
        <v>200</v>
      </c>
      <c r="L19" s="154"/>
      <c r="M19" s="154"/>
      <c r="N19" s="154"/>
      <c r="O19" s="154"/>
      <c r="P19" s="154"/>
      <c r="Q19" s="154"/>
    </row>
    <row r="20" spans="2:17" ht="36.6" thickBot="1" x14ac:dyDescent="0.35">
      <c r="B20" s="1">
        <v>3</v>
      </c>
      <c r="C20" s="2" t="s">
        <v>207</v>
      </c>
      <c r="D20" s="5">
        <v>15</v>
      </c>
      <c r="E20" s="4">
        <v>18</v>
      </c>
      <c r="F20" s="3">
        <f t="shared" si="4"/>
        <v>12.3</v>
      </c>
      <c r="G20" s="4">
        <v>18</v>
      </c>
      <c r="H20" s="3">
        <f t="shared" si="5"/>
        <v>2.214</v>
      </c>
      <c r="I20" s="3">
        <f>F20/F18*100</f>
        <v>20.672268907563026</v>
      </c>
      <c r="J20" s="3">
        <f>H20/H18*100</f>
        <v>16.913674560733387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25.2</v>
      </c>
      <c r="G21" s="3">
        <f>H21/F21*100</f>
        <v>11.730158730158731</v>
      </c>
      <c r="H21" s="3">
        <f>H18-H19-H20</f>
        <v>2.956</v>
      </c>
      <c r="I21" s="3">
        <f>I18-I19-I20</f>
        <v>42.35294117647058</v>
      </c>
      <c r="J21" s="3">
        <f>J18-J19-J20</f>
        <v>22.582123758594346</v>
      </c>
      <c r="K21" s="19">
        <f>F21+S8*10</f>
        <v>1545.2</v>
      </c>
      <c r="L21" s="19">
        <f>F21/1.5+S8*10</f>
        <v>1536.8</v>
      </c>
      <c r="M21" s="19">
        <f>K21/10</f>
        <v>154.52000000000001</v>
      </c>
      <c r="N21" s="19">
        <f>L21/10</f>
        <v>153.68</v>
      </c>
      <c r="O21" s="24" t="s">
        <v>34</v>
      </c>
      <c r="P21" s="162" t="s">
        <v>35</v>
      </c>
      <c r="Q21" s="162"/>
    </row>
  </sheetData>
  <mergeCells count="20">
    <mergeCell ref="P14:Q14"/>
    <mergeCell ref="B15:J16"/>
    <mergeCell ref="K19:Q19"/>
    <mergeCell ref="P21:Q21"/>
    <mergeCell ref="S10:U10"/>
    <mergeCell ref="K12:Q12"/>
    <mergeCell ref="S12:U12"/>
    <mergeCell ref="V12:X12"/>
    <mergeCell ref="S13:X13"/>
    <mergeCell ref="S7:X7"/>
    <mergeCell ref="P8:Q8"/>
    <mergeCell ref="B9:J9"/>
    <mergeCell ref="T9:U9"/>
    <mergeCell ref="S8:T8"/>
    <mergeCell ref="B2:J2"/>
    <mergeCell ref="B3:J3"/>
    <mergeCell ref="S4:X4"/>
    <mergeCell ref="S5:X5"/>
    <mergeCell ref="K6:Q6"/>
    <mergeCell ref="S6:X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21"/>
  <sheetViews>
    <sheetView topLeftCell="B1" workbookViewId="0">
      <selection activeCell="B3" sqref="B3:J3"/>
    </sheetView>
  </sheetViews>
  <sheetFormatPr defaultColWidth="8.88671875" defaultRowHeight="13.8" x14ac:dyDescent="0.3"/>
  <cols>
    <col min="1" max="1" width="1.88671875" style="30" customWidth="1"/>
    <col min="2" max="2" width="4.109375" style="30" customWidth="1"/>
    <col min="3" max="3" width="14.44140625" style="30" customWidth="1"/>
    <col min="4" max="4" width="10.33203125" style="30" customWidth="1"/>
    <col min="5" max="5" width="6.33203125" style="30" customWidth="1"/>
    <col min="6" max="6" width="10.6640625" style="30" customWidth="1"/>
    <col min="7" max="7" width="8.5546875" style="30" customWidth="1"/>
    <col min="8" max="8" width="9.88671875" style="30" customWidth="1"/>
    <col min="9" max="9" width="10.88671875" style="30" customWidth="1"/>
    <col min="10" max="10" width="11.44140625" style="30" customWidth="1"/>
    <col min="11" max="11" width="15.6640625" style="30" customWidth="1"/>
    <col min="12" max="12" width="16.88671875" style="30" customWidth="1"/>
    <col min="13" max="13" width="11.44140625" style="30" customWidth="1"/>
    <col min="14" max="14" width="14.44140625" style="30" customWidth="1"/>
    <col min="15" max="15" width="16.6640625" style="30" customWidth="1"/>
    <col min="16" max="16" width="11.44140625" style="30" customWidth="1"/>
    <col min="17" max="17" width="7.33203125" style="30" customWidth="1"/>
    <col min="18" max="16384" width="8.88671875" style="30"/>
  </cols>
  <sheetData>
    <row r="1" spans="2:24" ht="15.6" customHeight="1" x14ac:dyDescent="0.3"/>
    <row r="2" spans="2:24" ht="20.399999999999999" customHeight="1" x14ac:dyDescent="0.3">
      <c r="B2" s="155"/>
      <c r="C2" s="155"/>
      <c r="D2" s="155"/>
      <c r="E2" s="155"/>
      <c r="F2" s="155"/>
      <c r="G2" s="155"/>
      <c r="H2" s="155"/>
      <c r="I2" s="155"/>
      <c r="J2" s="155"/>
      <c r="K2" s="31"/>
      <c r="L2" s="31"/>
      <c r="M2" s="31"/>
      <c r="N2" s="31"/>
      <c r="O2" s="31"/>
      <c r="P2" s="31"/>
    </row>
    <row r="3" spans="2:24" ht="24.75" customHeight="1" thickBot="1" x14ac:dyDescent="0.35">
      <c r="B3" s="152" t="s">
        <v>235</v>
      </c>
      <c r="C3" s="152"/>
      <c r="D3" s="152"/>
      <c r="E3" s="152"/>
      <c r="F3" s="152"/>
      <c r="G3" s="152"/>
      <c r="H3" s="152"/>
      <c r="I3" s="152"/>
      <c r="J3" s="152"/>
    </row>
    <row r="4" spans="2:24" ht="36.6" customHeight="1" thickBot="1" x14ac:dyDescent="0.35">
      <c r="B4" s="1" t="s">
        <v>0</v>
      </c>
      <c r="C4" s="2" t="s">
        <v>187</v>
      </c>
      <c r="D4" s="2" t="s">
        <v>191</v>
      </c>
      <c r="E4" s="2" t="s">
        <v>2</v>
      </c>
      <c r="F4" s="2" t="s">
        <v>192</v>
      </c>
      <c r="G4" s="2" t="s">
        <v>1</v>
      </c>
      <c r="H4" s="2" t="s">
        <v>193</v>
      </c>
      <c r="I4" s="2" t="s">
        <v>194</v>
      </c>
      <c r="J4" s="2" t="s">
        <v>195</v>
      </c>
      <c r="K4" s="7"/>
      <c r="L4" s="7"/>
      <c r="M4" s="7"/>
      <c r="N4" s="7"/>
      <c r="O4" s="7"/>
      <c r="P4" s="7"/>
      <c r="S4" s="152"/>
      <c r="T4" s="152"/>
      <c r="U4" s="152"/>
      <c r="V4" s="152"/>
      <c r="W4" s="152"/>
      <c r="X4" s="152"/>
    </row>
    <row r="5" spans="2:24" ht="25.2" customHeight="1" thickBot="1" x14ac:dyDescent="0.35">
      <c r="B5" s="1">
        <v>1</v>
      </c>
      <c r="C5" s="2" t="s">
        <v>188</v>
      </c>
      <c r="D5" s="5">
        <v>200</v>
      </c>
      <c r="E5" s="4">
        <v>15</v>
      </c>
      <c r="F5" s="3">
        <f>D5*(100-E5)/100</f>
        <v>170</v>
      </c>
      <c r="G5" s="4">
        <v>20</v>
      </c>
      <c r="H5" s="3">
        <f>G5*F5/100</f>
        <v>34</v>
      </c>
      <c r="I5" s="3">
        <v>100</v>
      </c>
      <c r="J5" s="3">
        <v>100</v>
      </c>
      <c r="K5" s="9"/>
      <c r="L5" s="10"/>
      <c r="M5" s="10"/>
      <c r="N5" s="10"/>
      <c r="O5" s="10"/>
      <c r="P5" s="10"/>
      <c r="S5" s="160" t="s">
        <v>214</v>
      </c>
      <c r="T5" s="160"/>
      <c r="U5" s="160"/>
      <c r="V5" s="160"/>
      <c r="W5" s="160"/>
      <c r="X5" s="160"/>
    </row>
    <row r="6" spans="2:24" ht="25.2" customHeight="1" thickBot="1" x14ac:dyDescent="0.35">
      <c r="B6" s="5">
        <v>2</v>
      </c>
      <c r="C6" s="6" t="s">
        <v>189</v>
      </c>
      <c r="D6" s="5">
        <v>40</v>
      </c>
      <c r="E6" s="4">
        <v>12</v>
      </c>
      <c r="F6" s="4">
        <f t="shared" ref="F6:F7" si="0">D6*(100-E6)/100</f>
        <v>35.200000000000003</v>
      </c>
      <c r="G6" s="4">
        <v>37</v>
      </c>
      <c r="H6" s="4">
        <f>G6*F6/100</f>
        <v>13.024000000000001</v>
      </c>
      <c r="I6" s="4">
        <f>F6/F5*100</f>
        <v>20.705882352941181</v>
      </c>
      <c r="J6" s="4">
        <f>H6/H5*100</f>
        <v>38.305882352941175</v>
      </c>
      <c r="K6" s="153" t="s">
        <v>200</v>
      </c>
      <c r="L6" s="154"/>
      <c r="M6" s="154"/>
      <c r="N6" s="154"/>
      <c r="O6" s="154"/>
      <c r="P6" s="154"/>
      <c r="Q6" s="154"/>
      <c r="S6" s="159"/>
      <c r="T6" s="159"/>
      <c r="U6" s="159"/>
      <c r="V6" s="159"/>
      <c r="W6" s="159"/>
      <c r="X6" s="159"/>
    </row>
    <row r="7" spans="2:24" ht="25.2" customHeight="1" thickBot="1" x14ac:dyDescent="0.35">
      <c r="B7" s="1">
        <v>3</v>
      </c>
      <c r="C7" s="2" t="s">
        <v>207</v>
      </c>
      <c r="D7" s="5">
        <v>80</v>
      </c>
      <c r="E7" s="4">
        <v>18</v>
      </c>
      <c r="F7" s="3">
        <f t="shared" si="0"/>
        <v>65.599999999999994</v>
      </c>
      <c r="G7" s="4">
        <v>18</v>
      </c>
      <c r="H7" s="3">
        <f t="shared" ref="H7" si="1">G7*F7/100</f>
        <v>11.808</v>
      </c>
      <c r="I7" s="3">
        <f>F7/F5*100</f>
        <v>38.588235294117645</v>
      </c>
      <c r="J7" s="3">
        <f>H7/H5*100</f>
        <v>34.72941176470588</v>
      </c>
      <c r="K7" s="17" t="s">
        <v>201</v>
      </c>
      <c r="L7" s="75" t="s">
        <v>202</v>
      </c>
      <c r="M7" s="75" t="s">
        <v>203</v>
      </c>
      <c r="N7" s="75" t="s">
        <v>204</v>
      </c>
      <c r="O7" s="75" t="s">
        <v>205</v>
      </c>
      <c r="P7" s="75" t="s">
        <v>206</v>
      </c>
      <c r="Q7" s="74"/>
      <c r="S7" s="152"/>
      <c r="T7" s="152"/>
      <c r="U7" s="152"/>
      <c r="V7" s="152"/>
      <c r="W7" s="152"/>
      <c r="X7" s="152"/>
    </row>
    <row r="8" spans="2:24" ht="25.2" customHeight="1" thickBot="1" x14ac:dyDescent="0.35">
      <c r="B8" s="1">
        <v>4</v>
      </c>
      <c r="C8" s="2" t="s">
        <v>190</v>
      </c>
      <c r="D8" s="1"/>
      <c r="E8" s="1"/>
      <c r="F8" s="3">
        <f>F5-F6-F7</f>
        <v>69.200000000000017</v>
      </c>
      <c r="G8" s="3">
        <f>H8/F8*100</f>
        <v>13.248554913294793</v>
      </c>
      <c r="H8" s="3">
        <f>H5-H6-H7</f>
        <v>9.1679999999999993</v>
      </c>
      <c r="I8" s="3">
        <f>I5-I6-I7</f>
        <v>40.705882352941167</v>
      </c>
      <c r="J8" s="3">
        <f>J5-J6-J7</f>
        <v>26.964705882352945</v>
      </c>
      <c r="K8" s="19">
        <f>F8+S8*10</f>
        <v>1509.2</v>
      </c>
      <c r="L8" s="19">
        <f>F8/1.5+S8*10</f>
        <v>1486.1333333333334</v>
      </c>
      <c r="M8" s="19">
        <f>K8/10</f>
        <v>150.92000000000002</v>
      </c>
      <c r="N8" s="19">
        <f>L8/10</f>
        <v>148.61333333333334</v>
      </c>
      <c r="O8" s="32" t="s">
        <v>20</v>
      </c>
      <c r="P8" s="162" t="s">
        <v>9</v>
      </c>
      <c r="Q8" s="162"/>
      <c r="S8" s="160">
        <f>160*0.9</f>
        <v>144</v>
      </c>
      <c r="T8" s="160"/>
      <c r="U8" s="25"/>
      <c r="V8" s="25"/>
      <c r="W8" s="25"/>
      <c r="X8" s="25"/>
    </row>
    <row r="9" spans="2:24" ht="25.2" customHeight="1" thickBot="1" x14ac:dyDescent="0.35">
      <c r="B9" s="158" t="s">
        <v>196</v>
      </c>
      <c r="C9" s="158"/>
      <c r="D9" s="158"/>
      <c r="E9" s="158"/>
      <c r="F9" s="158"/>
      <c r="G9" s="158"/>
      <c r="H9" s="158"/>
      <c r="I9" s="158"/>
      <c r="J9" s="158"/>
      <c r="K9" s="8"/>
      <c r="L9" s="8"/>
      <c r="M9" s="8"/>
      <c r="N9" s="8"/>
      <c r="O9" s="13"/>
      <c r="P9" s="8"/>
      <c r="T9" s="160"/>
      <c r="U9" s="160"/>
    </row>
    <row r="10" spans="2:24" ht="48.6" thickBot="1" x14ac:dyDescent="0.35">
      <c r="B10" s="1" t="s">
        <v>0</v>
      </c>
      <c r="C10" s="2" t="s">
        <v>187</v>
      </c>
      <c r="D10" s="2" t="s">
        <v>191</v>
      </c>
      <c r="E10" s="2" t="s">
        <v>2</v>
      </c>
      <c r="F10" s="2" t="s">
        <v>192</v>
      </c>
      <c r="G10" s="2" t="s">
        <v>1</v>
      </c>
      <c r="H10" s="2" t="s">
        <v>193</v>
      </c>
      <c r="I10" s="2" t="s">
        <v>194</v>
      </c>
      <c r="J10" s="2" t="s">
        <v>195</v>
      </c>
      <c r="K10" s="11"/>
      <c r="L10" s="12"/>
      <c r="M10" s="12"/>
      <c r="N10" s="12"/>
      <c r="O10" s="12"/>
      <c r="P10" s="12"/>
      <c r="S10" s="152"/>
      <c r="T10" s="152"/>
      <c r="U10" s="152"/>
    </row>
    <row r="11" spans="2:24" ht="24.6" thickBot="1" x14ac:dyDescent="0.35">
      <c r="B11" s="1">
        <v>1</v>
      </c>
      <c r="C11" s="2" t="s">
        <v>188</v>
      </c>
      <c r="D11" s="5">
        <v>200</v>
      </c>
      <c r="E11" s="4">
        <v>15</v>
      </c>
      <c r="F11" s="3">
        <f>D11*(100-E11)/100</f>
        <v>170</v>
      </c>
      <c r="G11" s="4">
        <v>28</v>
      </c>
      <c r="H11" s="3">
        <f>G11*F11/100</f>
        <v>47.6</v>
      </c>
      <c r="I11" s="3">
        <v>100</v>
      </c>
      <c r="J11" s="3">
        <v>100</v>
      </c>
      <c r="K11" s="11"/>
      <c r="L11" s="12"/>
      <c r="M11" s="12"/>
      <c r="N11" s="12"/>
      <c r="O11" s="12"/>
      <c r="P11" s="12"/>
    </row>
    <row r="12" spans="2:24" ht="36.6" thickBot="1" x14ac:dyDescent="0.35">
      <c r="B12" s="5">
        <v>2</v>
      </c>
      <c r="C12" s="6" t="s">
        <v>189</v>
      </c>
      <c r="D12" s="5">
        <v>80</v>
      </c>
      <c r="E12" s="4">
        <v>12</v>
      </c>
      <c r="F12" s="4">
        <f t="shared" ref="F12:F13" si="2">D12*(100-E12)/100</f>
        <v>70.400000000000006</v>
      </c>
      <c r="G12" s="4">
        <v>40</v>
      </c>
      <c r="H12" s="4">
        <f t="shared" ref="H12:H13" si="3">G12*F12/100</f>
        <v>28.16</v>
      </c>
      <c r="I12" s="4">
        <f>F12/F11*100</f>
        <v>41.411764705882362</v>
      </c>
      <c r="J12" s="4">
        <f>H12/H11*100</f>
        <v>59.159663865546221</v>
      </c>
      <c r="K12" s="153" t="s">
        <v>200</v>
      </c>
      <c r="L12" s="154"/>
      <c r="M12" s="154"/>
      <c r="N12" s="154"/>
      <c r="O12" s="154"/>
      <c r="P12" s="154"/>
      <c r="Q12" s="154"/>
      <c r="S12" s="152"/>
      <c r="T12" s="152"/>
      <c r="U12" s="152"/>
      <c r="V12" s="152"/>
      <c r="W12" s="152"/>
      <c r="X12" s="152"/>
    </row>
    <row r="13" spans="2:24" ht="36.6" thickBot="1" x14ac:dyDescent="0.35">
      <c r="B13" s="1">
        <v>3</v>
      </c>
      <c r="C13" s="2" t="s">
        <v>207</v>
      </c>
      <c r="D13" s="5">
        <v>45</v>
      </c>
      <c r="E13" s="4">
        <v>18</v>
      </c>
      <c r="F13" s="3">
        <f t="shared" si="2"/>
        <v>36.9</v>
      </c>
      <c r="G13" s="4">
        <v>22</v>
      </c>
      <c r="H13" s="3">
        <f t="shared" si="3"/>
        <v>8.1180000000000003</v>
      </c>
      <c r="I13" s="3">
        <f>F13/F11*100</f>
        <v>21.705882352941174</v>
      </c>
      <c r="J13" s="3">
        <f>H13/H11*100</f>
        <v>17.054621848739497</v>
      </c>
      <c r="K13" s="17" t="s">
        <v>201</v>
      </c>
      <c r="L13" s="75" t="s">
        <v>202</v>
      </c>
      <c r="M13" s="75" t="s">
        <v>203</v>
      </c>
      <c r="N13" s="75" t="s">
        <v>204</v>
      </c>
      <c r="O13" s="75" t="s">
        <v>205</v>
      </c>
      <c r="P13" s="75" t="s">
        <v>206</v>
      </c>
      <c r="Q13" s="74"/>
      <c r="S13" s="159"/>
      <c r="T13" s="159"/>
      <c r="U13" s="159"/>
      <c r="V13" s="159"/>
      <c r="W13" s="159"/>
      <c r="X13" s="159"/>
    </row>
    <row r="14" spans="2:24" ht="24.6" thickBot="1" x14ac:dyDescent="0.35">
      <c r="B14" s="1">
        <v>4</v>
      </c>
      <c r="C14" s="2" t="s">
        <v>190</v>
      </c>
      <c r="D14" s="1"/>
      <c r="E14" s="1"/>
      <c r="F14" s="3">
        <f>F11-F12-F13</f>
        <v>62.699999999999996</v>
      </c>
      <c r="G14" s="3">
        <f>H14/F14*100</f>
        <v>18.057416267942585</v>
      </c>
      <c r="H14" s="3">
        <f>H11-H12-H13</f>
        <v>11.322000000000001</v>
      </c>
      <c r="I14" s="3">
        <f>I11-I12-I13</f>
        <v>36.882352941176464</v>
      </c>
      <c r="J14" s="3">
        <f>J11-J12-J13</f>
        <v>23.785714285714281</v>
      </c>
      <c r="K14" s="19">
        <f>F14+S8*10</f>
        <v>1502.7</v>
      </c>
      <c r="L14" s="19">
        <f>F14/1.5+S8*10</f>
        <v>1481.8</v>
      </c>
      <c r="M14" s="19">
        <f>K14/10</f>
        <v>150.27000000000001</v>
      </c>
      <c r="N14" s="19">
        <f>L14/10</f>
        <v>148.18</v>
      </c>
      <c r="O14" s="32" t="s">
        <v>16</v>
      </c>
      <c r="P14" s="162" t="s">
        <v>45</v>
      </c>
      <c r="Q14" s="162"/>
    </row>
    <row r="15" spans="2:24" x14ac:dyDescent="0.3">
      <c r="B15" s="156" t="s">
        <v>197</v>
      </c>
      <c r="C15" s="156"/>
      <c r="D15" s="156"/>
      <c r="E15" s="156"/>
      <c r="F15" s="156"/>
      <c r="G15" s="156"/>
      <c r="H15" s="156"/>
      <c r="I15" s="156"/>
      <c r="J15" s="156"/>
    </row>
    <row r="16" spans="2:24" ht="14.4" thickBot="1" x14ac:dyDescent="0.35">
      <c r="B16" s="157"/>
      <c r="C16" s="157"/>
      <c r="D16" s="157"/>
      <c r="E16" s="157"/>
      <c r="F16" s="157"/>
      <c r="G16" s="157"/>
      <c r="H16" s="157"/>
      <c r="I16" s="157"/>
      <c r="J16" s="157"/>
    </row>
    <row r="17" spans="2:17" ht="48.6" thickBot="1" x14ac:dyDescent="0.35">
      <c r="B17" s="1" t="s">
        <v>0</v>
      </c>
      <c r="C17" s="2" t="s">
        <v>187</v>
      </c>
      <c r="D17" s="2" t="s">
        <v>191</v>
      </c>
      <c r="E17" s="2" t="s">
        <v>2</v>
      </c>
      <c r="F17" s="2" t="s">
        <v>192</v>
      </c>
      <c r="G17" s="2" t="s">
        <v>1</v>
      </c>
      <c r="H17" s="2" t="s">
        <v>193</v>
      </c>
      <c r="I17" s="2" t="s">
        <v>194</v>
      </c>
      <c r="J17" s="2" t="s">
        <v>195</v>
      </c>
      <c r="K17" s="11"/>
      <c r="L17" s="12"/>
      <c r="M17" s="12"/>
      <c r="N17" s="12"/>
      <c r="O17" s="12"/>
    </row>
    <row r="18" spans="2:17" ht="24.6" thickBot="1" x14ac:dyDescent="0.35">
      <c r="B18" s="1">
        <v>1</v>
      </c>
      <c r="C18" s="2" t="s">
        <v>188</v>
      </c>
      <c r="D18" s="5">
        <v>70</v>
      </c>
      <c r="E18" s="4">
        <v>15</v>
      </c>
      <c r="F18" s="3">
        <f>D18*(100-E18)/100</f>
        <v>59.5</v>
      </c>
      <c r="G18" s="4">
        <v>22</v>
      </c>
      <c r="H18" s="3">
        <f>G18*F18/100</f>
        <v>13.09</v>
      </c>
      <c r="I18" s="3">
        <v>100</v>
      </c>
      <c r="J18" s="3">
        <v>100</v>
      </c>
      <c r="K18" s="11"/>
      <c r="L18" s="12"/>
      <c r="M18" s="12"/>
      <c r="N18" s="12"/>
      <c r="O18" s="12"/>
    </row>
    <row r="19" spans="2:17" ht="36.6" thickBot="1" x14ac:dyDescent="0.35">
      <c r="B19" s="5">
        <v>2</v>
      </c>
      <c r="C19" s="6" t="s">
        <v>189</v>
      </c>
      <c r="D19" s="5">
        <v>25</v>
      </c>
      <c r="E19" s="4">
        <v>12</v>
      </c>
      <c r="F19" s="4">
        <f t="shared" ref="F19:F20" si="4">D19*(100-E19)/100</f>
        <v>22</v>
      </c>
      <c r="G19" s="4">
        <v>36</v>
      </c>
      <c r="H19" s="4">
        <f t="shared" ref="H19:H20" si="5">G19*F19/100</f>
        <v>7.92</v>
      </c>
      <c r="I19" s="4">
        <f>F19/F18*100</f>
        <v>36.97478991596639</v>
      </c>
      <c r="J19" s="4">
        <f>H19/H18*100</f>
        <v>60.504201680672267</v>
      </c>
      <c r="K19" s="153" t="s">
        <v>200</v>
      </c>
      <c r="L19" s="154"/>
      <c r="M19" s="154"/>
      <c r="N19" s="154"/>
      <c r="O19" s="154"/>
      <c r="P19" s="154"/>
      <c r="Q19" s="154"/>
    </row>
    <row r="20" spans="2:17" ht="36.6" thickBot="1" x14ac:dyDescent="0.35">
      <c r="B20" s="1">
        <v>3</v>
      </c>
      <c r="C20" s="2" t="s">
        <v>207</v>
      </c>
      <c r="D20" s="5">
        <v>15</v>
      </c>
      <c r="E20" s="4">
        <v>18</v>
      </c>
      <c r="F20" s="3">
        <f t="shared" si="4"/>
        <v>12.3</v>
      </c>
      <c r="G20" s="4">
        <v>18</v>
      </c>
      <c r="H20" s="3">
        <f t="shared" si="5"/>
        <v>2.214</v>
      </c>
      <c r="I20" s="3">
        <f>F20/F18*100</f>
        <v>20.672268907563026</v>
      </c>
      <c r="J20" s="3">
        <f>H20/H18*100</f>
        <v>16.913674560733387</v>
      </c>
      <c r="K20" s="17" t="s">
        <v>201</v>
      </c>
      <c r="L20" s="75" t="s">
        <v>202</v>
      </c>
      <c r="M20" s="75" t="s">
        <v>203</v>
      </c>
      <c r="N20" s="75" t="s">
        <v>204</v>
      </c>
      <c r="O20" s="75" t="s">
        <v>205</v>
      </c>
      <c r="P20" s="75" t="s">
        <v>206</v>
      </c>
      <c r="Q20" s="74"/>
    </row>
    <row r="21" spans="2:17" ht="24.6" thickBot="1" x14ac:dyDescent="0.35">
      <c r="B21" s="1">
        <v>4</v>
      </c>
      <c r="C21" s="2" t="s">
        <v>190</v>
      </c>
      <c r="D21" s="1"/>
      <c r="E21" s="1"/>
      <c r="F21" s="3">
        <f>F18-F19-F20</f>
        <v>25.2</v>
      </c>
      <c r="G21" s="3">
        <f>H21/F21*100</f>
        <v>11.730158730158731</v>
      </c>
      <c r="H21" s="3">
        <f>H18-H19-H20</f>
        <v>2.956</v>
      </c>
      <c r="I21" s="3">
        <f>I18-I19-I20</f>
        <v>42.35294117647058</v>
      </c>
      <c r="J21" s="3">
        <f>J18-J19-J20</f>
        <v>22.582123758594346</v>
      </c>
      <c r="K21" s="19">
        <f>F21+S8*10</f>
        <v>1465.2</v>
      </c>
      <c r="L21" s="19">
        <f>F21/1.5+S8*10</f>
        <v>1456.8</v>
      </c>
      <c r="M21" s="19">
        <f>K21/10</f>
        <v>146.52000000000001</v>
      </c>
      <c r="N21" s="19">
        <f>L21/10</f>
        <v>145.68</v>
      </c>
      <c r="O21" s="32" t="s">
        <v>36</v>
      </c>
      <c r="P21" s="162" t="s">
        <v>37</v>
      </c>
      <c r="Q21" s="162"/>
    </row>
  </sheetData>
  <mergeCells count="20">
    <mergeCell ref="B9:J9"/>
    <mergeCell ref="T9:U9"/>
    <mergeCell ref="B2:J2"/>
    <mergeCell ref="B3:J3"/>
    <mergeCell ref="S4:X4"/>
    <mergeCell ref="S5:X5"/>
    <mergeCell ref="K6:Q6"/>
    <mergeCell ref="S6:X6"/>
    <mergeCell ref="V12:X12"/>
    <mergeCell ref="S13:X13"/>
    <mergeCell ref="S7:X7"/>
    <mergeCell ref="P8:Q8"/>
    <mergeCell ref="S8:T8"/>
    <mergeCell ref="P14:Q14"/>
    <mergeCell ref="B15:J16"/>
    <mergeCell ref="K19:Q19"/>
    <mergeCell ref="P21:Q21"/>
    <mergeCell ref="S10:U10"/>
    <mergeCell ref="K12:Q12"/>
    <mergeCell ref="S12:U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3E42FC3B1FDA42AD1363DB9C360FE8" ma:contentTypeVersion="8" ma:contentTypeDescription="Create a new document." ma:contentTypeScope="" ma:versionID="a37d7824397c9e3c4d695889759d2f09">
  <xsd:schema xmlns:xsd="http://www.w3.org/2001/XMLSchema" xmlns:xs="http://www.w3.org/2001/XMLSchema" xmlns:p="http://schemas.microsoft.com/office/2006/metadata/properties" xmlns:ns3="acc24a30-ac95-417c-b9f7-2dc626674a2b" targetNamespace="http://schemas.microsoft.com/office/2006/metadata/properties" ma:root="true" ma:fieldsID="ebfbdc3e34aae07dece5d995da8783e0" ns3:_="">
    <xsd:import namespace="acc24a30-ac95-417c-b9f7-2dc626674a2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c24a30-ac95-417c-b9f7-2dc626674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62EAC-33F5-4111-97C4-DE2820E7A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c24a30-ac95-417c-b9f7-2dc626674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1E562F-0DAC-4158-9315-AFB13EB793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cc24a30-ac95-417c-b9f7-2dc626674a2b"/>
    <ds:schemaRef ds:uri="http://www.w3.org/XML/1998/namespace"/>
    <ds:schemaRef ds:uri="http://purl.org/dc/dcmitype/"/>
  </ds:schemaRefs>
</ds:datastoreItem>
</file>

<file path=customXml/itemProps3.xml><?xml version="1.0" encoding="utf-8"?>
<ds:datastoreItem xmlns:ds="http://schemas.openxmlformats.org/officeDocument/2006/customXml" ds:itemID="{9F3F3B6C-06D8-4ABB-AFD8-13AB5B103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Total</vt:lpstr>
      <vt:lpstr>ჯეო მაინინგი.</vt:lpstr>
      <vt:lpstr>მნ.რიჩი.</vt:lpstr>
      <vt:lpstr>მეტალ. ჯგუფი</vt:lpstr>
      <vt:lpstr>მანგა</vt:lpstr>
      <vt:lpstr>ლეგო</vt:lpstr>
      <vt:lpstr>ანდრო</vt:lpstr>
      <vt:lpstr>ტექნო 2016.</vt:lpstr>
      <vt:lpstr>პარტნიორი.</vt:lpstr>
      <vt:lpstr>მგტ</vt:lpstr>
      <vt:lpstr>ბუკაპი</vt:lpstr>
      <vt:lpstr>ადვ ტოგო</vt:lpstr>
      <vt:lpstr>როიალ მნ.</vt:lpstr>
      <vt:lpstr>ლეჟუბანი</vt:lpstr>
      <vt:lpstr>მნ პლიუსი</vt:lpstr>
      <vt:lpstr>აგო 2019</vt:lpstr>
      <vt:lpstr>არაგვი</vt:lpstr>
      <vt:lpstr>ბარჯა</vt:lpstr>
      <vt:lpstr>ტრანსპორტი</vt:lpstr>
      <vt:lpstr>მ. გრუპი</vt:lpstr>
      <vt:lpstr>კოლხეთი</vt:lpstr>
      <vt:lpstr>ბაჩანა</vt:lpstr>
      <vt:lpstr>მალკო</vt:lpstr>
      <vt:lpstr>შმაგურა</vt:lpstr>
      <vt:lpstr>ბლეკ  გოლდენი</vt:lpstr>
      <vt:lpstr>ჰარიმანი</vt:lpstr>
      <vt:lpstr>ტაბაღუა</vt:lpstr>
      <vt:lpstr>ლალი</vt:lpstr>
      <vt:lpstr>გიო  და კომპანია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cofi5</dc:creator>
  <cp:lastModifiedBy>Nana Jokhadze</cp:lastModifiedBy>
  <cp:lastPrinted>2022-01-05T08:39:26Z</cp:lastPrinted>
  <dcterms:created xsi:type="dcterms:W3CDTF">2020-10-05T07:26:43Z</dcterms:created>
  <dcterms:modified xsi:type="dcterms:W3CDTF">2022-01-13T15:04:34Z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0x010100FA3E42FC3B1FDA42AD1363DB9C360FE8</vt:lpwstr>
  </property>
</Properties>
</file>